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7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8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9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10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1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2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3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4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5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6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showInkAnnotation="0" autoCompressPictures="0"/>
  <xr:revisionPtr revIDLastSave="0" documentId="8_{783F1F63-0D55-410F-8A42-C69D15F829ED}" xr6:coauthVersionLast="47" xr6:coauthVersionMax="47" xr10:uidLastSave="{00000000-0000-0000-0000-000000000000}"/>
  <bookViews>
    <workbookView xWindow="-90" yWindow="-90" windowWidth="19380" windowHeight="10260" tabRatio="847" activeTab="3" xr2:uid="{00000000-000D-0000-FFFF-FFFF00000000}"/>
  </bookViews>
  <sheets>
    <sheet name="A Inzicht" sheetId="1" r:id="rId1"/>
    <sheet name="Sleutels" sheetId="14" r:id="rId2"/>
    <sheet name="2024 H1" sheetId="19" r:id="rId3"/>
    <sheet name="2024" sheetId="16" r:id="rId4"/>
    <sheet name="2024 project" sheetId="29" r:id="rId5"/>
    <sheet name="2024 verdeling" sheetId="28" r:id="rId6"/>
    <sheet name="2025 H1" sheetId="22" r:id="rId7"/>
    <sheet name="2025 verdeling" sheetId="25" r:id="rId8"/>
    <sheet name="2025" sheetId="24" r:id="rId9"/>
    <sheet name="2025 project" sheetId="26" r:id="rId10"/>
    <sheet name="2026 H1" sheetId="30" r:id="rId11"/>
    <sheet name="2026" sheetId="32" r:id="rId12"/>
    <sheet name="2026 project" sheetId="33" r:id="rId13"/>
    <sheet name="2026 verdeling" sheetId="34" r:id="rId14"/>
    <sheet name="2024 H2" sheetId="20" r:id="rId15"/>
    <sheet name="2025 H2" sheetId="23" r:id="rId16"/>
    <sheet name="2026 H2" sheetId="31" r:id="rId17"/>
    <sheet name="B reductie" sheetId="17" state="hidden" r:id="rId18"/>
  </sheets>
  <definedNames>
    <definedName name="_xlnm.Print_Area" localSheetId="3">'2024'!$A$1:$T$45</definedName>
    <definedName name="_xlnm.Print_Area" localSheetId="2">'2024 H1'!$A$1:$T$45</definedName>
    <definedName name="_xlnm.Print_Area" localSheetId="14">'2024 H2'!$A$1:$T$45</definedName>
    <definedName name="_xlnm.Print_Area" localSheetId="4">'2024 project'!$A$1:$T$45</definedName>
    <definedName name="_xlnm.Print_Area" localSheetId="6">'2025 H1'!$A$1:$T$45</definedName>
    <definedName name="_xlnm.Print_Area" localSheetId="10">'2026 H1'!$A$1:$T$45</definedName>
    <definedName name="_xlnm.Print_Area" localSheetId="13">'2026 verdeling'!$A$1:$T$45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18" i="1" l="1"/>
  <c r="L18" i="1" s="1"/>
  <c r="L17" i="1"/>
  <c r="I11" i="1"/>
  <c r="L11" i="1"/>
  <c r="H23" i="1"/>
  <c r="I23" i="1" s="1"/>
  <c r="J23" i="1" s="1"/>
  <c r="L23" i="1" s="1"/>
  <c r="AE13" i="1"/>
  <c r="Z13" i="1"/>
  <c r="AD13" i="1" s="1"/>
  <c r="X13" i="1"/>
  <c r="W13" i="1"/>
  <c r="U13" i="1"/>
  <c r="Y13" i="1" s="1"/>
  <c r="Q13" i="1"/>
  <c r="J13" i="1"/>
  <c r="L13" i="1" s="1"/>
  <c r="H13" i="1"/>
  <c r="AE12" i="1"/>
  <c r="X12" i="1"/>
  <c r="Q12" i="1"/>
  <c r="J12" i="1"/>
  <c r="L12" i="1" s="1"/>
  <c r="H12" i="1"/>
  <c r="AF39" i="1"/>
  <c r="AE39" i="1"/>
  <c r="AD39" i="1"/>
  <c r="AB39" i="1"/>
  <c r="Y39" i="1"/>
  <c r="X39" i="1"/>
  <c r="W39" i="1"/>
  <c r="U39" i="1"/>
  <c r="S39" i="1"/>
  <c r="P39" i="1"/>
  <c r="N39" i="1"/>
  <c r="S30" i="1"/>
  <c r="U30" i="1"/>
  <c r="W30" i="1"/>
  <c r="X30" i="1"/>
  <c r="Y30" i="1"/>
  <c r="Z30" i="1"/>
  <c r="AB30" i="1"/>
  <c r="AD30" i="1"/>
  <c r="AE30" i="1"/>
  <c r="AF30" i="1"/>
  <c r="S31" i="1"/>
  <c r="U31" i="1"/>
  <c r="W31" i="1"/>
  <c r="X31" i="1"/>
  <c r="Y31" i="1"/>
  <c r="Z31" i="1"/>
  <c r="AB31" i="1"/>
  <c r="AD31" i="1"/>
  <c r="AE31" i="1"/>
  <c r="AF31" i="1"/>
  <c r="Z32" i="1"/>
  <c r="S33" i="1"/>
  <c r="U33" i="1"/>
  <c r="W33" i="1"/>
  <c r="X33" i="1"/>
  <c r="Y33" i="1"/>
  <c r="Z33" i="1"/>
  <c r="AB33" i="1"/>
  <c r="AD33" i="1"/>
  <c r="AE33" i="1"/>
  <c r="AF33" i="1"/>
  <c r="Q57" i="1"/>
  <c r="P57" i="1"/>
  <c r="N57" i="1"/>
  <c r="AE59" i="1"/>
  <c r="X59" i="1"/>
  <c r="S59" i="1"/>
  <c r="Z59" i="1" s="1"/>
  <c r="Q59" i="1"/>
  <c r="P59" i="1"/>
  <c r="N59" i="1"/>
  <c r="R59" i="1" s="1"/>
  <c r="AE58" i="1"/>
  <c r="Z58" i="1"/>
  <c r="AD58" i="1" s="1"/>
  <c r="X58" i="1"/>
  <c r="S58" i="1"/>
  <c r="W58" i="1" s="1"/>
  <c r="Q58" i="1"/>
  <c r="P58" i="1"/>
  <c r="N58" i="1"/>
  <c r="R58" i="1" s="1"/>
  <c r="AE57" i="1"/>
  <c r="X57" i="1"/>
  <c r="S57" i="1"/>
  <c r="W57" i="1" s="1"/>
  <c r="R57" i="1"/>
  <c r="AE56" i="1"/>
  <c r="X56" i="1"/>
  <c r="S56" i="1"/>
  <c r="W56" i="1" s="1"/>
  <c r="R56" i="1"/>
  <c r="Q56" i="1"/>
  <c r="P56" i="1"/>
  <c r="N56" i="1"/>
  <c r="AE55" i="1"/>
  <c r="Z55" i="1"/>
  <c r="AB55" i="1" s="1"/>
  <c r="X55" i="1"/>
  <c r="S55" i="1"/>
  <c r="W55" i="1" s="1"/>
  <c r="Q55" i="1"/>
  <c r="P55" i="1"/>
  <c r="N55" i="1"/>
  <c r="R55" i="1" s="1"/>
  <c r="AE54" i="1"/>
  <c r="X54" i="1"/>
  <c r="S54" i="1"/>
  <c r="W54" i="1" s="1"/>
  <c r="R54" i="1"/>
  <c r="Q54" i="1"/>
  <c r="P54" i="1"/>
  <c r="N54" i="1"/>
  <c r="AF45" i="1"/>
  <c r="AE48" i="1"/>
  <c r="AE47" i="1"/>
  <c r="AE46" i="1"/>
  <c r="AE45" i="1"/>
  <c r="Y48" i="1"/>
  <c r="Y47" i="1"/>
  <c r="Y46" i="1"/>
  <c r="Y45" i="1"/>
  <c r="X48" i="1"/>
  <c r="X47" i="1"/>
  <c r="X46" i="1"/>
  <c r="X45" i="1"/>
  <c r="W48" i="1"/>
  <c r="W47" i="1"/>
  <c r="W46" i="1"/>
  <c r="W45" i="1"/>
  <c r="U48" i="1"/>
  <c r="U47" i="1"/>
  <c r="U46" i="1"/>
  <c r="U45" i="1"/>
  <c r="Z48" i="1"/>
  <c r="AB48" i="1"/>
  <c r="AD48" i="1"/>
  <c r="AF48" i="1"/>
  <c r="Z47" i="1"/>
  <c r="AB47" i="1"/>
  <c r="AD47" i="1"/>
  <c r="AF47" i="1"/>
  <c r="Z46" i="1"/>
  <c r="AB46" i="1"/>
  <c r="AD46" i="1"/>
  <c r="AF46" i="1"/>
  <c r="Z45" i="1"/>
  <c r="AB45" i="1"/>
  <c r="AD45" i="1"/>
  <c r="S48" i="1"/>
  <c r="S47" i="1"/>
  <c r="S46" i="1"/>
  <c r="S45" i="1"/>
  <c r="R48" i="1"/>
  <c r="R47" i="1"/>
  <c r="R46" i="1"/>
  <c r="R45" i="1"/>
  <c r="Q48" i="1"/>
  <c r="Q47" i="1"/>
  <c r="Q46" i="1"/>
  <c r="Q45" i="1"/>
  <c r="P48" i="1"/>
  <c r="P47" i="1"/>
  <c r="P46" i="1"/>
  <c r="P45" i="1"/>
  <c r="P44" i="1"/>
  <c r="N48" i="1"/>
  <c r="N47" i="1"/>
  <c r="N46" i="1"/>
  <c r="N45" i="1"/>
  <c r="N44" i="1"/>
  <c r="AE44" i="1"/>
  <c r="Z44" i="1"/>
  <c r="AD44" i="1" s="1"/>
  <c r="X44" i="1"/>
  <c r="W44" i="1"/>
  <c r="U44" i="1"/>
  <c r="Y44" i="1" s="1"/>
  <c r="Q44" i="1"/>
  <c r="H44" i="1"/>
  <c r="I44" i="1" s="1"/>
  <c r="J44" i="1" s="1"/>
  <c r="L44" i="1" s="1"/>
  <c r="AF43" i="1"/>
  <c r="AE43" i="1"/>
  <c r="Z43" i="1"/>
  <c r="Y43" i="1"/>
  <c r="X43" i="1"/>
  <c r="R43" i="1"/>
  <c r="Q43" i="1"/>
  <c r="H43" i="1"/>
  <c r="AE53" i="1"/>
  <c r="Z53" i="1"/>
  <c r="AD53" i="1" s="1"/>
  <c r="X53" i="1"/>
  <c r="W53" i="1"/>
  <c r="U53" i="1"/>
  <c r="Y53" i="1" s="1"/>
  <c r="Q53" i="1"/>
  <c r="J53" i="1"/>
  <c r="L53" i="1" s="1"/>
  <c r="H53" i="1"/>
  <c r="AE52" i="1"/>
  <c r="X52" i="1"/>
  <c r="Q52" i="1"/>
  <c r="J52" i="1"/>
  <c r="L52" i="1" s="1"/>
  <c r="H52" i="1"/>
  <c r="AE10" i="1"/>
  <c r="X10" i="1"/>
  <c r="Q10" i="1"/>
  <c r="I10" i="1"/>
  <c r="J10" i="1" s="1"/>
  <c r="L10" i="1" s="1"/>
  <c r="AE9" i="1"/>
  <c r="Z9" i="1"/>
  <c r="AD9" i="1" s="1"/>
  <c r="X9" i="1"/>
  <c r="W9" i="1"/>
  <c r="U9" i="1"/>
  <c r="Y9" i="1" s="1"/>
  <c r="H9" i="1"/>
  <c r="I9" i="1" s="1"/>
  <c r="J9" i="1" s="1"/>
  <c r="L9" i="1" s="1"/>
  <c r="H18" i="1"/>
  <c r="I18" i="1"/>
  <c r="S75" i="1"/>
  <c r="S74" i="1"/>
  <c r="S73" i="1"/>
  <c r="S72" i="1"/>
  <c r="S71" i="1"/>
  <c r="S68" i="1"/>
  <c r="S67" i="1"/>
  <c r="S64" i="1"/>
  <c r="S63" i="1"/>
  <c r="S61" i="1"/>
  <c r="S42" i="1"/>
  <c r="Z42" i="1" s="1"/>
  <c r="S41" i="1"/>
  <c r="S38" i="1"/>
  <c r="S37" i="1"/>
  <c r="Z36" i="1"/>
  <c r="Z40" i="1"/>
  <c r="Z38" i="1"/>
  <c r="S29" i="1"/>
  <c r="S28" i="1"/>
  <c r="Y32" i="1" l="1"/>
  <c r="AF32" i="1"/>
  <c r="S12" i="1"/>
  <c r="P12" i="1"/>
  <c r="N12" i="1"/>
  <c r="R12" i="1" s="1"/>
  <c r="P13" i="1"/>
  <c r="N13" i="1"/>
  <c r="R13" i="1" s="1"/>
  <c r="AB13" i="1"/>
  <c r="AF13" i="1" s="1"/>
  <c r="AD59" i="1"/>
  <c r="AB59" i="1"/>
  <c r="AF59" i="1" s="1"/>
  <c r="U59" i="1"/>
  <c r="W59" i="1"/>
  <c r="U57" i="1"/>
  <c r="Y57" i="1" s="1"/>
  <c r="Z57" i="1"/>
  <c r="U58" i="1"/>
  <c r="Y58" i="1" s="1"/>
  <c r="AB58" i="1"/>
  <c r="AF58" i="1" s="1"/>
  <c r="U56" i="1"/>
  <c r="Y56" i="1" s="1"/>
  <c r="Z56" i="1"/>
  <c r="AD55" i="1"/>
  <c r="AF55" i="1" s="1"/>
  <c r="Z54" i="1"/>
  <c r="U55" i="1"/>
  <c r="Y55" i="1" s="1"/>
  <c r="U54" i="1"/>
  <c r="Y54" i="1" s="1"/>
  <c r="AB44" i="1"/>
  <c r="AF44" i="1" s="1"/>
  <c r="P53" i="1"/>
  <c r="N53" i="1"/>
  <c r="R53" i="1" s="1"/>
  <c r="AB53" i="1"/>
  <c r="AF53" i="1" s="1"/>
  <c r="P52" i="1"/>
  <c r="N52" i="1"/>
  <c r="R52" i="1" s="1"/>
  <c r="S52" i="1"/>
  <c r="P10" i="1"/>
  <c r="N10" i="1"/>
  <c r="R10" i="1" s="1"/>
  <c r="S10" i="1"/>
  <c r="AB9" i="1"/>
  <c r="AF9" i="1" s="1"/>
  <c r="I75" i="1"/>
  <c r="I74" i="1"/>
  <c r="L73" i="1"/>
  <c r="L72" i="1"/>
  <c r="L71" i="1"/>
  <c r="S70" i="1"/>
  <c r="I69" i="1"/>
  <c r="J68" i="1"/>
  <c r="I68" i="1"/>
  <c r="J67" i="1"/>
  <c r="I67" i="1"/>
  <c r="I66" i="1"/>
  <c r="I65" i="1"/>
  <c r="J64" i="1"/>
  <c r="I64" i="1"/>
  <c r="I63" i="1"/>
  <c r="I62" i="1"/>
  <c r="L61" i="1"/>
  <c r="L60" i="1"/>
  <c r="L51" i="1"/>
  <c r="J38" i="1"/>
  <c r="H38" i="1"/>
  <c r="I41" i="1"/>
  <c r="I37" i="1"/>
  <c r="I33" i="1"/>
  <c r="J29" i="1"/>
  <c r="I29" i="1"/>
  <c r="I27" i="1"/>
  <c r="I26" i="1"/>
  <c r="I25" i="1"/>
  <c r="I24" i="1"/>
  <c r="J30" i="1"/>
  <c r="H30" i="1"/>
  <c r="I30" i="1"/>
  <c r="I22" i="1"/>
  <c r="I21" i="1"/>
  <c r="I20" i="1"/>
  <c r="I19" i="1"/>
  <c r="I16" i="1"/>
  <c r="I15" i="1"/>
  <c r="I14" i="1"/>
  <c r="I8" i="1"/>
  <c r="I7" i="1"/>
  <c r="Z12" i="1" l="1"/>
  <c r="W12" i="1"/>
  <c r="U12" i="1"/>
  <c r="Y12" i="1" s="1"/>
  <c r="Y59" i="1"/>
  <c r="AD57" i="1"/>
  <c r="AB57" i="1"/>
  <c r="AF57" i="1" s="1"/>
  <c r="AD56" i="1"/>
  <c r="AB56" i="1"/>
  <c r="AD54" i="1"/>
  <c r="AB54" i="1"/>
  <c r="AF54" i="1" s="1"/>
  <c r="R44" i="1"/>
  <c r="Z52" i="1"/>
  <c r="W52" i="1"/>
  <c r="U52" i="1"/>
  <c r="Y52" i="1" s="1"/>
  <c r="Z10" i="1"/>
  <c r="U10" i="1"/>
  <c r="W10" i="1"/>
  <c r="R9" i="1"/>
  <c r="H75" i="1"/>
  <c r="H74" i="1"/>
  <c r="H73" i="1"/>
  <c r="H72" i="1"/>
  <c r="H71" i="1"/>
  <c r="H65" i="1"/>
  <c r="H61" i="1"/>
  <c r="H51" i="1"/>
  <c r="H42" i="1"/>
  <c r="H41" i="1"/>
  <c r="H40" i="1"/>
  <c r="H37" i="1"/>
  <c r="H36" i="1"/>
  <c r="H33" i="1"/>
  <c r="H32" i="1"/>
  <c r="H31" i="1"/>
  <c r="H27" i="1"/>
  <c r="H25" i="1"/>
  <c r="H24" i="1"/>
  <c r="H21" i="1"/>
  <c r="H20" i="1"/>
  <c r="H15" i="1"/>
  <c r="H14" i="1"/>
  <c r="H8" i="1"/>
  <c r="H7" i="1"/>
  <c r="AD12" i="1" l="1"/>
  <c r="AB12" i="1"/>
  <c r="AF12" i="1" s="1"/>
  <c r="AF56" i="1"/>
  <c r="AB52" i="1"/>
  <c r="AD52" i="1"/>
  <c r="Y10" i="1"/>
  <c r="AD10" i="1"/>
  <c r="AB10" i="1"/>
  <c r="AF10" i="1" s="1"/>
  <c r="K2" i="29" a="1"/>
  <c r="K2" i="29" s="1"/>
  <c r="K2" i="28" a="1"/>
  <c r="K2" i="28" s="1"/>
  <c r="K2" i="25" a="1"/>
  <c r="K2" i="25" s="1"/>
  <c r="K2" i="34" a="1"/>
  <c r="K2" i="34" s="1"/>
  <c r="K2" i="31" a="1"/>
  <c r="K2" i="31" s="1"/>
  <c r="K2" i="23" a="1"/>
  <c r="K2" i="23" s="1"/>
  <c r="K2" i="20" a="1"/>
  <c r="K2" i="20" s="1"/>
  <c r="K2" i="32" a="1"/>
  <c r="K2" i="32" s="1"/>
  <c r="K2" i="30" a="1"/>
  <c r="K2" i="30" s="1"/>
  <c r="K2" i="24" a="1"/>
  <c r="K2" i="24" s="1"/>
  <c r="K2" i="22" a="1"/>
  <c r="K2" i="22" s="1"/>
  <c r="K2" i="33" a="1"/>
  <c r="K2" i="33" s="1"/>
  <c r="K2" i="26" a="1"/>
  <c r="K2" i="26" s="1"/>
  <c r="K2" i="16" a="1"/>
  <c r="K2" i="16" s="1"/>
  <c r="K2" i="19" a="1"/>
  <c r="K2" i="19" s="1"/>
  <c r="L75" i="1"/>
  <c r="L69" i="1"/>
  <c r="L68" i="1"/>
  <c r="L67" i="1"/>
  <c r="L66" i="1"/>
  <c r="L65" i="1"/>
  <c r="L64" i="1"/>
  <c r="L63" i="1"/>
  <c r="L62" i="1"/>
  <c r="L29" i="1"/>
  <c r="L28" i="1"/>
  <c r="L22" i="1"/>
  <c r="L19" i="1"/>
  <c r="L16" i="1"/>
  <c r="L14" i="1"/>
  <c r="J75" i="1"/>
  <c r="J74" i="1"/>
  <c r="L74" i="1" s="1"/>
  <c r="J73" i="1"/>
  <c r="J72" i="1"/>
  <c r="J71" i="1"/>
  <c r="J51" i="1"/>
  <c r="L41" i="1"/>
  <c r="L30" i="1"/>
  <c r="J42" i="1"/>
  <c r="J41" i="1"/>
  <c r="J37" i="1"/>
  <c r="L37" i="1" s="1"/>
  <c r="J33" i="1"/>
  <c r="L33" i="1" s="1"/>
  <c r="J32" i="1"/>
  <c r="L27" i="1"/>
  <c r="L25" i="1"/>
  <c r="L24" i="1"/>
  <c r="L21" i="1"/>
  <c r="L20" i="1"/>
  <c r="L15" i="1"/>
  <c r="L8" i="1"/>
  <c r="L7" i="1"/>
  <c r="L26" i="1"/>
  <c r="AF52" i="1" l="1"/>
  <c r="Z39" i="1"/>
  <c r="Z69" i="1"/>
  <c r="Z67" i="1"/>
  <c r="AB67" i="1" s="1"/>
  <c r="Z64" i="1"/>
  <c r="Z29" i="1"/>
  <c r="AB29" i="1" s="1"/>
  <c r="W19" i="1"/>
  <c r="U17" i="1"/>
  <c r="U16" i="1"/>
  <c r="E7" i="31"/>
  <c r="E7" i="23"/>
  <c r="E7" i="20"/>
  <c r="E7" i="34"/>
  <c r="E7" i="33"/>
  <c r="E7" i="32"/>
  <c r="E7" i="30"/>
  <c r="E7" i="25"/>
  <c r="E7" i="26"/>
  <c r="E7" i="24"/>
  <c r="E7" i="22"/>
  <c r="E7" i="28"/>
  <c r="E7" i="29"/>
  <c r="E7" i="16"/>
  <c r="AE22" i="1"/>
  <c r="X22" i="1"/>
  <c r="Q22" i="1"/>
  <c r="Z22" i="1"/>
  <c r="AD22" i="1" s="1"/>
  <c r="E6" i="16"/>
  <c r="E6" i="29" s="1"/>
  <c r="E6" i="28" s="1"/>
  <c r="E6" i="22" s="1"/>
  <c r="E6" i="24" s="1"/>
  <c r="E6" i="26" s="1"/>
  <c r="E6" i="25" s="1"/>
  <c r="E6" i="30" s="1"/>
  <c r="E6" i="32" s="1"/>
  <c r="E6" i="33" s="1"/>
  <c r="E6" i="34" s="1"/>
  <c r="E6" i="20" s="1"/>
  <c r="E6" i="23" s="1"/>
  <c r="E6" i="31" s="1"/>
  <c r="AB38" i="1"/>
  <c r="F16" i="14"/>
  <c r="U11" i="1"/>
  <c r="R39" i="1"/>
  <c r="W68" i="1"/>
  <c r="N7" i="1"/>
  <c r="U14" i="1"/>
  <c r="U75" i="1"/>
  <c r="W74" i="1"/>
  <c r="U73" i="1"/>
  <c r="W72" i="1"/>
  <c r="Z71" i="1"/>
  <c r="AD71" i="1" s="1"/>
  <c r="U70" i="1"/>
  <c r="W70" i="1"/>
  <c r="W66" i="1"/>
  <c r="U65" i="1"/>
  <c r="U63" i="1"/>
  <c r="Z62" i="1"/>
  <c r="AB62" i="1" s="1"/>
  <c r="U61" i="1"/>
  <c r="U60" i="1"/>
  <c r="W51" i="1"/>
  <c r="U42" i="1"/>
  <c r="W41" i="1"/>
  <c r="W40" i="1"/>
  <c r="W37" i="1"/>
  <c r="Z28" i="1"/>
  <c r="W28" i="1"/>
  <c r="U27" i="1"/>
  <c r="Z26" i="1"/>
  <c r="Z25" i="1"/>
  <c r="W25" i="1"/>
  <c r="Z24" i="1"/>
  <c r="U24" i="1"/>
  <c r="Z23" i="1"/>
  <c r="U21" i="1"/>
  <c r="W20" i="1"/>
  <c r="W18" i="1"/>
  <c r="U15" i="1"/>
  <c r="U8" i="1"/>
  <c r="Z8" i="1"/>
  <c r="AB8" i="1" s="1"/>
  <c r="W7" i="1"/>
  <c r="Z63" i="1"/>
  <c r="AB63" i="1" s="1"/>
  <c r="W63" i="1"/>
  <c r="Z68" i="1"/>
  <c r="AD68" i="1" s="1"/>
  <c r="Z70" i="1"/>
  <c r="AD70" i="1" s="1"/>
  <c r="U66" i="1"/>
  <c r="W38" i="1"/>
  <c r="Z66" i="1"/>
  <c r="AB66" i="1" s="1"/>
  <c r="U68" i="1"/>
  <c r="U38" i="1"/>
  <c r="Z21" i="1"/>
  <c r="AB21" i="1" s="1"/>
  <c r="Z14" i="1"/>
  <c r="AD14" i="1" s="1"/>
  <c r="L6" i="14"/>
  <c r="I6" i="14"/>
  <c r="I19" i="17"/>
  <c r="AE75" i="1"/>
  <c r="X75" i="1"/>
  <c r="Q75" i="1"/>
  <c r="P75" i="1"/>
  <c r="N75" i="1"/>
  <c r="AE41" i="1"/>
  <c r="X41" i="1"/>
  <c r="Q41" i="1"/>
  <c r="P41" i="1"/>
  <c r="N41" i="1"/>
  <c r="R41" i="1" s="1"/>
  <c r="AE16" i="1"/>
  <c r="X16" i="1"/>
  <c r="Q16" i="1"/>
  <c r="P16" i="1"/>
  <c r="N16" i="1"/>
  <c r="AE18" i="1"/>
  <c r="X18" i="1"/>
  <c r="P11" i="1"/>
  <c r="N11" i="1"/>
  <c r="R11" i="1" s="1"/>
  <c r="U36" i="1"/>
  <c r="W36" i="1"/>
  <c r="U62" i="1"/>
  <c r="W62" i="1"/>
  <c r="P7" i="1"/>
  <c r="N8" i="1"/>
  <c r="P8" i="1"/>
  <c r="R8" i="1" s="1"/>
  <c r="N14" i="1"/>
  <c r="P14" i="1"/>
  <c r="N15" i="1"/>
  <c r="P15" i="1"/>
  <c r="N31" i="1"/>
  <c r="P31" i="1"/>
  <c r="N19" i="1"/>
  <c r="P19" i="1"/>
  <c r="N20" i="1"/>
  <c r="P20" i="1"/>
  <c r="N21" i="1"/>
  <c r="P21" i="1"/>
  <c r="N24" i="1"/>
  <c r="P24" i="1"/>
  <c r="N25" i="1"/>
  <c r="P25" i="1"/>
  <c r="N26" i="1"/>
  <c r="P26" i="1"/>
  <c r="R26" i="1" s="1"/>
  <c r="N27" i="1"/>
  <c r="P27" i="1"/>
  <c r="N28" i="1"/>
  <c r="P28" i="1"/>
  <c r="R28" i="1" s="1"/>
  <c r="N29" i="1"/>
  <c r="P29" i="1"/>
  <c r="R29" i="1" s="1"/>
  <c r="N30" i="1"/>
  <c r="P30" i="1"/>
  <c r="N32" i="1"/>
  <c r="P32" i="1"/>
  <c r="N33" i="1"/>
  <c r="P33" i="1"/>
  <c r="N36" i="1"/>
  <c r="P36" i="1"/>
  <c r="N37" i="1"/>
  <c r="P37" i="1"/>
  <c r="N38" i="1"/>
  <c r="P38" i="1"/>
  <c r="N40" i="1"/>
  <c r="P40" i="1"/>
  <c r="N42" i="1"/>
  <c r="P42" i="1"/>
  <c r="N51" i="1"/>
  <c r="P51" i="1"/>
  <c r="N60" i="1"/>
  <c r="P60" i="1"/>
  <c r="N61" i="1"/>
  <c r="P61" i="1"/>
  <c r="N62" i="1"/>
  <c r="P62" i="1"/>
  <c r="P63" i="1"/>
  <c r="N63" i="1"/>
  <c r="P65" i="1"/>
  <c r="N65" i="1"/>
  <c r="P66" i="1"/>
  <c r="N66" i="1"/>
  <c r="P67" i="1"/>
  <c r="N67" i="1"/>
  <c r="R67" i="1" s="1"/>
  <c r="P68" i="1"/>
  <c r="N68" i="1"/>
  <c r="P70" i="1"/>
  <c r="N70" i="1"/>
  <c r="N74" i="1"/>
  <c r="P74" i="1"/>
  <c r="F28" i="20" s="1"/>
  <c r="E21" i="17" s="1"/>
  <c r="H21" i="17" s="1"/>
  <c r="F24" i="14"/>
  <c r="G25" i="14"/>
  <c r="K31" i="14"/>
  <c r="N31" i="14"/>
  <c r="J31" i="14"/>
  <c r="M31" i="14"/>
  <c r="K36" i="14"/>
  <c r="N36" i="14"/>
  <c r="K34" i="14"/>
  <c r="N34" i="14"/>
  <c r="K33" i="14"/>
  <c r="N33" i="14"/>
  <c r="J36" i="14"/>
  <c r="M36" i="14"/>
  <c r="J34" i="14"/>
  <c r="M34" i="14"/>
  <c r="J33" i="14"/>
  <c r="M33" i="14"/>
  <c r="F20" i="14"/>
  <c r="G21" i="14"/>
  <c r="AE42" i="1"/>
  <c r="X42" i="1"/>
  <c r="Q42" i="1"/>
  <c r="K37" i="14"/>
  <c r="N37" i="14"/>
  <c r="K35" i="14"/>
  <c r="N35" i="14"/>
  <c r="K32" i="14"/>
  <c r="N32" i="14"/>
  <c r="J37" i="14"/>
  <c r="M37" i="14"/>
  <c r="J35" i="14"/>
  <c r="M35" i="14"/>
  <c r="J32" i="14"/>
  <c r="AE74" i="1"/>
  <c r="AE70" i="1"/>
  <c r="AE68" i="1"/>
  <c r="AE67" i="1"/>
  <c r="AE66" i="1"/>
  <c r="AE65" i="1"/>
  <c r="AE63" i="1"/>
  <c r="AE61" i="1"/>
  <c r="AE60" i="1"/>
  <c r="AE40" i="1"/>
  <c r="AE38" i="1"/>
  <c r="AE37" i="1"/>
  <c r="AE29" i="1"/>
  <c r="AE28" i="1"/>
  <c r="AE27" i="1"/>
  <c r="AE26" i="1"/>
  <c r="AE25" i="1"/>
  <c r="AE24" i="1"/>
  <c r="AE23" i="1"/>
  <c r="AE21" i="1"/>
  <c r="AE20" i="1"/>
  <c r="AE19" i="1"/>
  <c r="X60" i="1"/>
  <c r="X61" i="1"/>
  <c r="X74" i="1"/>
  <c r="X68" i="1"/>
  <c r="X67" i="1"/>
  <c r="X66" i="1"/>
  <c r="X65" i="1"/>
  <c r="X63" i="1"/>
  <c r="X38" i="1"/>
  <c r="X37" i="1"/>
  <c r="X29" i="1"/>
  <c r="X28" i="1"/>
  <c r="X27" i="1"/>
  <c r="X26" i="1"/>
  <c r="X25" i="1"/>
  <c r="X20" i="1"/>
  <c r="X19" i="1"/>
  <c r="X21" i="1"/>
  <c r="X40" i="1"/>
  <c r="X70" i="1"/>
  <c r="X24" i="1"/>
  <c r="Q60" i="1"/>
  <c r="Q68" i="1"/>
  <c r="Q67" i="1"/>
  <c r="Q66" i="1"/>
  <c r="Q65" i="1"/>
  <c r="Q63" i="1"/>
  <c r="Q38" i="1"/>
  <c r="Q37" i="1"/>
  <c r="Q32" i="1"/>
  <c r="Q29" i="1"/>
  <c r="Q28" i="1"/>
  <c r="Q27" i="1"/>
  <c r="Q26" i="1"/>
  <c r="Q25" i="1"/>
  <c r="Q20" i="1"/>
  <c r="Q19" i="1"/>
  <c r="Q70" i="1"/>
  <c r="Q61" i="1"/>
  <c r="Q39" i="1"/>
  <c r="Q33" i="1"/>
  <c r="Q30" i="1"/>
  <c r="Q21" i="1"/>
  <c r="Q40" i="1"/>
  <c r="Q74" i="1"/>
  <c r="Q24" i="1"/>
  <c r="G19" i="17"/>
  <c r="G20" i="17"/>
  <c r="G18" i="17"/>
  <c r="I18" i="17"/>
  <c r="I20" i="17"/>
  <c r="N72" i="1"/>
  <c r="P71" i="1"/>
  <c r="N73" i="1"/>
  <c r="P72" i="1"/>
  <c r="AE7" i="1"/>
  <c r="Q15" i="1"/>
  <c r="X14" i="1"/>
  <c r="X17" i="1"/>
  <c r="AE17" i="1"/>
  <c r="Q17" i="1"/>
  <c r="AE11" i="1"/>
  <c r="X8" i="1"/>
  <c r="Q62" i="1"/>
  <c r="AE62" i="1"/>
  <c r="Q14" i="1"/>
  <c r="AE15" i="1"/>
  <c r="Q7" i="1"/>
  <c r="AE36" i="1"/>
  <c r="AE8" i="1"/>
  <c r="Q36" i="1"/>
  <c r="X11" i="1"/>
  <c r="Q11" i="1"/>
  <c r="X7" i="1"/>
  <c r="X36" i="1"/>
  <c r="Q8" i="1"/>
  <c r="X15" i="1"/>
  <c r="X51" i="1"/>
  <c r="X62" i="1"/>
  <c r="AE14" i="1"/>
  <c r="AE51" i="1"/>
  <c r="Q51" i="1"/>
  <c r="Q31" i="1"/>
  <c r="R69" i="1"/>
  <c r="R64" i="1"/>
  <c r="P73" i="1"/>
  <c r="N71" i="1"/>
  <c r="Q73" i="1"/>
  <c r="Q72" i="1"/>
  <c r="X71" i="1"/>
  <c r="Q71" i="1"/>
  <c r="X73" i="1"/>
  <c r="X72" i="1"/>
  <c r="AE71" i="1"/>
  <c r="AE72" i="1"/>
  <c r="AE73" i="1"/>
  <c r="G17" i="14"/>
  <c r="D19" i="17"/>
  <c r="F19" i="17" s="1"/>
  <c r="E19" i="17"/>
  <c r="H19" i="17" s="1"/>
  <c r="E20" i="17"/>
  <c r="H20" i="17"/>
  <c r="D20" i="17"/>
  <c r="J20" i="17" s="1"/>
  <c r="D18" i="17"/>
  <c r="J18" i="17" s="1"/>
  <c r="E18" i="17"/>
  <c r="H18" i="17"/>
  <c r="J19" i="17"/>
  <c r="R31" i="1" l="1"/>
  <c r="F20" i="17"/>
  <c r="F18" i="17"/>
  <c r="R36" i="1"/>
  <c r="R18" i="1"/>
  <c r="F28" i="19"/>
  <c r="D21" i="17" s="1"/>
  <c r="J21" i="17" s="1"/>
  <c r="W71" i="1"/>
  <c r="R73" i="1"/>
  <c r="U71" i="1"/>
  <c r="R68" i="1"/>
  <c r="R66" i="1"/>
  <c r="R62" i="1"/>
  <c r="R37" i="1"/>
  <c r="R27" i="1"/>
  <c r="R25" i="1"/>
  <c r="R70" i="1"/>
  <c r="R63" i="1"/>
  <c r="R72" i="1"/>
  <c r="F27" i="29" s="1"/>
  <c r="R23" i="1"/>
  <c r="W73" i="1"/>
  <c r="Y73" i="1" s="1"/>
  <c r="F13" i="19"/>
  <c r="D9" i="17" s="1"/>
  <c r="J9" i="17" s="1"/>
  <c r="U28" i="1"/>
  <c r="R71" i="1"/>
  <c r="R75" i="1"/>
  <c r="U74" i="1"/>
  <c r="Y74" i="1" s="1"/>
  <c r="Y70" i="1"/>
  <c r="Y71" i="1"/>
  <c r="U29" i="1"/>
  <c r="Y29" i="1" s="1"/>
  <c r="Y62" i="1"/>
  <c r="Y68" i="1"/>
  <c r="W75" i="1"/>
  <c r="F28" i="23" s="1"/>
  <c r="I21" i="17" s="1"/>
  <c r="R74" i="1"/>
  <c r="F28" i="16" s="1"/>
  <c r="Z74" i="1"/>
  <c r="AD74" i="1" s="1"/>
  <c r="Z73" i="1"/>
  <c r="Z72" i="1"/>
  <c r="U67" i="1"/>
  <c r="F26" i="22" s="1"/>
  <c r="G15" i="17" s="1"/>
  <c r="W67" i="1"/>
  <c r="F26" i="19"/>
  <c r="D15" i="17" s="1"/>
  <c r="J15" i="17" s="1"/>
  <c r="W65" i="1"/>
  <c r="F26" i="23" s="1"/>
  <c r="I15" i="17" s="1"/>
  <c r="Y65" i="1"/>
  <c r="Z65" i="1"/>
  <c r="AB65" i="1" s="1"/>
  <c r="AD62" i="1"/>
  <c r="AF62" i="1" s="1"/>
  <c r="Z60" i="1"/>
  <c r="AD60" i="1" s="1"/>
  <c r="R51" i="1"/>
  <c r="W42" i="1"/>
  <c r="F21" i="23" s="1"/>
  <c r="F20" i="19"/>
  <c r="D13" i="17" s="1"/>
  <c r="AD36" i="1"/>
  <c r="AB36" i="1"/>
  <c r="R33" i="1"/>
  <c r="W29" i="1"/>
  <c r="AD28" i="1"/>
  <c r="AB28" i="1"/>
  <c r="AF28" i="1" s="1"/>
  <c r="U26" i="1"/>
  <c r="R24" i="1"/>
  <c r="AD21" i="1"/>
  <c r="AF21" i="1" s="1"/>
  <c r="W21" i="1"/>
  <c r="W16" i="1"/>
  <c r="Y16" i="1" s="1"/>
  <c r="Z16" i="1"/>
  <c r="AB16" i="1" s="1"/>
  <c r="R16" i="1"/>
  <c r="R15" i="1"/>
  <c r="F13" i="20"/>
  <c r="E9" i="17" s="1"/>
  <c r="H9" i="17" s="1"/>
  <c r="U7" i="1"/>
  <c r="F13" i="22" s="1"/>
  <c r="G8" i="17" s="1"/>
  <c r="Z7" i="1"/>
  <c r="AD7" i="1" s="1"/>
  <c r="R42" i="1"/>
  <c r="F21" i="20"/>
  <c r="U40" i="1"/>
  <c r="Y40" i="1" s="1"/>
  <c r="R61" i="1"/>
  <c r="W60" i="1"/>
  <c r="Y60" i="1" s="1"/>
  <c r="R60" i="1"/>
  <c r="Z51" i="1"/>
  <c r="AD51" i="1" s="1"/>
  <c r="U51" i="1"/>
  <c r="Y51" i="1" s="1"/>
  <c r="F25" i="20"/>
  <c r="E14" i="17" s="1"/>
  <c r="H14" i="17" s="1"/>
  <c r="Z17" i="1"/>
  <c r="AD17" i="1" s="1"/>
  <c r="W17" i="1"/>
  <c r="Y17" i="1" s="1"/>
  <c r="Z19" i="1"/>
  <c r="U19" i="1"/>
  <c r="Y19" i="1" s="1"/>
  <c r="U22" i="1"/>
  <c r="W22" i="1"/>
  <c r="AD38" i="1"/>
  <c r="AF38" i="1" s="1"/>
  <c r="AB71" i="1"/>
  <c r="AF71" i="1" s="1"/>
  <c r="Y64" i="1"/>
  <c r="Y63" i="1"/>
  <c r="AB24" i="1"/>
  <c r="AD24" i="1"/>
  <c r="AD25" i="1"/>
  <c r="AB25" i="1"/>
  <c r="AF25" i="1" s="1"/>
  <c r="F21" i="19"/>
  <c r="AB74" i="1"/>
  <c r="AF74" i="1" s="1"/>
  <c r="W15" i="1"/>
  <c r="Y15" i="1" s="1"/>
  <c r="F27" i="23"/>
  <c r="I16" i="17" s="1"/>
  <c r="Z15" i="1"/>
  <c r="AB15" i="1" s="1"/>
  <c r="N35" i="1"/>
  <c r="R65" i="1"/>
  <c r="F26" i="28" s="1"/>
  <c r="F22" i="16"/>
  <c r="AF69" i="1"/>
  <c r="AB70" i="1"/>
  <c r="AF70" i="1" s="1"/>
  <c r="F25" i="19"/>
  <c r="D14" i="17" s="1"/>
  <c r="J14" i="17" s="1"/>
  <c r="R19" i="1"/>
  <c r="U25" i="1"/>
  <c r="Y25" i="1" s="1"/>
  <c r="AD66" i="1"/>
  <c r="AF66" i="1" s="1"/>
  <c r="AD29" i="1"/>
  <c r="AF29" i="1" s="1"/>
  <c r="AB68" i="1"/>
  <c r="AF68" i="1" s="1"/>
  <c r="W8" i="1"/>
  <c r="Y8" i="1" s="1"/>
  <c r="Y69" i="1"/>
  <c r="F16" i="19"/>
  <c r="D10" i="17" s="1"/>
  <c r="J10" i="17" s="1"/>
  <c r="F22" i="19"/>
  <c r="W24" i="1"/>
  <c r="Y24" i="1" s="1"/>
  <c r="R30" i="1"/>
  <c r="F16" i="16" s="1"/>
  <c r="F22" i="20"/>
  <c r="F17" i="20"/>
  <c r="E11" i="17" s="1"/>
  <c r="H11" i="17" s="1"/>
  <c r="W27" i="1"/>
  <c r="Y27" i="1" s="1"/>
  <c r="W11" i="1"/>
  <c r="Y11" i="1" s="1"/>
  <c r="Y28" i="1"/>
  <c r="R7" i="1"/>
  <c r="R32" i="1"/>
  <c r="R38" i="1"/>
  <c r="F17" i="19"/>
  <c r="D11" i="17" s="1"/>
  <c r="J11" i="17" s="1"/>
  <c r="F20" i="20"/>
  <c r="F27" i="20"/>
  <c r="E16" i="17" s="1"/>
  <c r="H16" i="17" s="1"/>
  <c r="P35" i="1"/>
  <c r="Z75" i="1"/>
  <c r="AB75" i="1" s="1"/>
  <c r="Z27" i="1"/>
  <c r="AD26" i="1"/>
  <c r="AB26" i="1"/>
  <c r="P17" i="1"/>
  <c r="F14" i="20" s="1"/>
  <c r="N17" i="1"/>
  <c r="F14" i="19" s="1"/>
  <c r="AF64" i="1"/>
  <c r="F20" i="23"/>
  <c r="I13" i="17" s="1"/>
  <c r="F17" i="23"/>
  <c r="I11" i="17" s="1"/>
  <c r="F16" i="20"/>
  <c r="E10" i="17" s="1"/>
  <c r="H10" i="17" s="1"/>
  <c r="Y66" i="1"/>
  <c r="AB14" i="1"/>
  <c r="Z41" i="1"/>
  <c r="AD63" i="1"/>
  <c r="AF63" i="1" s="1"/>
  <c r="Y36" i="1"/>
  <c r="Z61" i="1"/>
  <c r="W61" i="1"/>
  <c r="Y61" i="1" s="1"/>
  <c r="R20" i="1"/>
  <c r="Z18" i="1"/>
  <c r="R40" i="1"/>
  <c r="U72" i="1"/>
  <c r="Y72" i="1" s="1"/>
  <c r="Z11" i="1"/>
  <c r="W26" i="1"/>
  <c r="U37" i="1"/>
  <c r="Y37" i="1" s="1"/>
  <c r="Z37" i="1"/>
  <c r="U18" i="1"/>
  <c r="Y18" i="1" s="1"/>
  <c r="F27" i="19"/>
  <c r="D16" i="17" s="1"/>
  <c r="J16" i="17" s="1"/>
  <c r="F17" i="16"/>
  <c r="P50" i="1"/>
  <c r="F26" i="20"/>
  <c r="E15" i="17" s="1"/>
  <c r="H15" i="17" s="1"/>
  <c r="AD8" i="1"/>
  <c r="AF8" i="1" s="1"/>
  <c r="R14" i="1"/>
  <c r="N50" i="1"/>
  <c r="AD67" i="1"/>
  <c r="AF67" i="1" s="1"/>
  <c r="W14" i="1"/>
  <c r="F21" i="17"/>
  <c r="Y38" i="1"/>
  <c r="U41" i="1"/>
  <c r="Y21" i="1"/>
  <c r="P22" i="1"/>
  <c r="F15" i="20" s="1"/>
  <c r="N22" i="1"/>
  <c r="F15" i="19" s="1"/>
  <c r="AB22" i="1"/>
  <c r="AF22" i="1" s="1"/>
  <c r="R21" i="1"/>
  <c r="U20" i="1"/>
  <c r="Y20" i="1" s="1"/>
  <c r="Z20" i="1"/>
  <c r="AB23" i="1"/>
  <c r="AD23" i="1"/>
  <c r="F15" i="22"/>
  <c r="F16" i="28" l="1"/>
  <c r="F22" i="22"/>
  <c r="AB7" i="1"/>
  <c r="AF7" i="1" s="1"/>
  <c r="F28" i="22"/>
  <c r="G21" i="17" s="1"/>
  <c r="AF36" i="1"/>
  <c r="Y26" i="1"/>
  <c r="AD16" i="1"/>
  <c r="AF16" i="1" s="1"/>
  <c r="AD75" i="1"/>
  <c r="AF75" i="1" s="1"/>
  <c r="F28" i="31"/>
  <c r="F27" i="16"/>
  <c r="F27" i="28"/>
  <c r="Y67" i="1"/>
  <c r="F17" i="25" s="1"/>
  <c r="F17" i="28"/>
  <c r="F15" i="17"/>
  <c r="Y42" i="1"/>
  <c r="G19" i="20"/>
  <c r="E12" i="17" s="1"/>
  <c r="H12" i="17" s="1"/>
  <c r="D12" i="17"/>
  <c r="J12" i="17" s="1"/>
  <c r="F13" i="29"/>
  <c r="F15" i="31"/>
  <c r="Y75" i="1"/>
  <c r="F28" i="24" s="1"/>
  <c r="F27" i="26"/>
  <c r="G19" i="19"/>
  <c r="F9" i="17"/>
  <c r="D8" i="17"/>
  <c r="F8" i="17" s="1"/>
  <c r="F11" i="17"/>
  <c r="F15" i="23"/>
  <c r="F26" i="16"/>
  <c r="F24" i="28"/>
  <c r="F25" i="28"/>
  <c r="AD65" i="1"/>
  <c r="AF65" i="1" s="1"/>
  <c r="F17" i="34" s="1"/>
  <c r="AB60" i="1"/>
  <c r="AF60" i="1" s="1"/>
  <c r="AF24" i="1"/>
  <c r="Y7" i="1"/>
  <c r="F13" i="26" s="1"/>
  <c r="F14" i="23"/>
  <c r="I9" i="17" s="1"/>
  <c r="F26" i="30"/>
  <c r="F28" i="29"/>
  <c r="F28" i="30"/>
  <c r="AB73" i="1"/>
  <c r="AD73" i="1"/>
  <c r="F27" i="22"/>
  <c r="G16" i="17" s="1"/>
  <c r="F27" i="25"/>
  <c r="AB72" i="1"/>
  <c r="AD72" i="1"/>
  <c r="AD42" i="1"/>
  <c r="AB42" i="1"/>
  <c r="F20" i="29"/>
  <c r="F23" i="28"/>
  <c r="F16" i="29"/>
  <c r="F14" i="28"/>
  <c r="F16" i="22"/>
  <c r="G10" i="17" s="1"/>
  <c r="E8" i="17"/>
  <c r="H8" i="17" s="1"/>
  <c r="F15" i="28"/>
  <c r="F22" i="29"/>
  <c r="AB40" i="1"/>
  <c r="AD40" i="1"/>
  <c r="F14" i="17"/>
  <c r="AB51" i="1"/>
  <c r="AF51" i="1" s="1"/>
  <c r="AB17" i="1"/>
  <c r="AF17" i="1" s="1"/>
  <c r="AB19" i="1"/>
  <c r="AD19" i="1"/>
  <c r="Y22" i="1"/>
  <c r="F16" i="25"/>
  <c r="F26" i="26"/>
  <c r="F15" i="30"/>
  <c r="G12" i="19"/>
  <c r="G34" i="19" s="1"/>
  <c r="F13" i="23"/>
  <c r="I8" i="17" s="1"/>
  <c r="F17" i="22"/>
  <c r="G11" i="17" s="1"/>
  <c r="G12" i="20"/>
  <c r="G34" i="20" s="1"/>
  <c r="AB27" i="1"/>
  <c r="AD27" i="1"/>
  <c r="F16" i="31" s="1"/>
  <c r="F25" i="25"/>
  <c r="F20" i="16"/>
  <c r="F13" i="16"/>
  <c r="F26" i="29"/>
  <c r="F17" i="29"/>
  <c r="E13" i="17"/>
  <c r="H13" i="17" s="1"/>
  <c r="R50" i="1"/>
  <c r="F10" i="17"/>
  <c r="N6" i="1"/>
  <c r="N4" i="1" s="1"/>
  <c r="AD15" i="1"/>
  <c r="AF15" i="1" s="1"/>
  <c r="F25" i="23"/>
  <c r="I14" i="17" s="1"/>
  <c r="Y14" i="1"/>
  <c r="F14" i="24" s="1"/>
  <c r="F16" i="26"/>
  <c r="F23" i="25"/>
  <c r="F14" i="25"/>
  <c r="F16" i="24"/>
  <c r="F26" i="32"/>
  <c r="Y41" i="1"/>
  <c r="F21" i="22"/>
  <c r="W50" i="1"/>
  <c r="F20" i="22"/>
  <c r="G12" i="17" s="1"/>
  <c r="R22" i="1"/>
  <c r="F22" i="28" s="1"/>
  <c r="F22" i="23"/>
  <c r="G19" i="23" s="1"/>
  <c r="I12" i="17" s="1"/>
  <c r="F24" i="25"/>
  <c r="F25" i="22"/>
  <c r="G14" i="17" s="1"/>
  <c r="W35" i="1"/>
  <c r="AF26" i="1"/>
  <c r="F20" i="24"/>
  <c r="F25" i="16"/>
  <c r="F22" i="31"/>
  <c r="F25" i="29"/>
  <c r="U35" i="1"/>
  <c r="AD61" i="1"/>
  <c r="AB61" i="1"/>
  <c r="AB41" i="1"/>
  <c r="AD41" i="1"/>
  <c r="F14" i="22"/>
  <c r="F20" i="26"/>
  <c r="AF14" i="1"/>
  <c r="F16" i="23"/>
  <c r="I10" i="17" s="1"/>
  <c r="G24" i="20"/>
  <c r="R17" i="1"/>
  <c r="F12" i="17"/>
  <c r="AB11" i="1"/>
  <c r="AD11" i="1"/>
  <c r="W6" i="1"/>
  <c r="F21" i="29"/>
  <c r="F21" i="16"/>
  <c r="F13" i="28"/>
  <c r="F16" i="17"/>
  <c r="G24" i="19"/>
  <c r="AD37" i="1"/>
  <c r="AB37" i="1"/>
  <c r="F17" i="24"/>
  <c r="P6" i="1"/>
  <c r="P4" i="1" s="1"/>
  <c r="F17" i="26"/>
  <c r="AB18" i="1"/>
  <c r="AD18" i="1"/>
  <c r="F27" i="24"/>
  <c r="U50" i="1"/>
  <c r="F17" i="31"/>
  <c r="F13" i="17"/>
  <c r="J13" i="17"/>
  <c r="F20" i="28"/>
  <c r="F28" i="26"/>
  <c r="R35" i="1"/>
  <c r="AD20" i="1"/>
  <c r="AB20" i="1"/>
  <c r="U6" i="1"/>
  <c r="Y23" i="1"/>
  <c r="AF23" i="1"/>
  <c r="F27" i="30" l="1"/>
  <c r="F26" i="31"/>
  <c r="F26" i="25"/>
  <c r="F26" i="33"/>
  <c r="F26" i="24"/>
  <c r="F26" i="34"/>
  <c r="Y35" i="1"/>
  <c r="F13" i="24"/>
  <c r="G24" i="16"/>
  <c r="G24" i="29"/>
  <c r="J8" i="17"/>
  <c r="G19" i="29"/>
  <c r="AF42" i="1"/>
  <c r="F25" i="24"/>
  <c r="AF73" i="1"/>
  <c r="AF72" i="1"/>
  <c r="F27" i="31"/>
  <c r="Y50" i="1"/>
  <c r="F21" i="31"/>
  <c r="G19" i="16"/>
  <c r="G12" i="28"/>
  <c r="G33" i="28" s="1"/>
  <c r="AF27" i="1"/>
  <c r="F16" i="33" s="1"/>
  <c r="AF20" i="1"/>
  <c r="F14" i="30"/>
  <c r="F14" i="26"/>
  <c r="F21" i="25"/>
  <c r="Y6" i="1"/>
  <c r="F13" i="30"/>
  <c r="F25" i="26"/>
  <c r="G24" i="26" s="1"/>
  <c r="AF40" i="1"/>
  <c r="G24" i="22"/>
  <c r="G17" i="17" s="1"/>
  <c r="G24" i="23"/>
  <c r="I17" i="17" s="1"/>
  <c r="D7" i="17"/>
  <c r="F7" i="17" s="1"/>
  <c r="G33" i="19"/>
  <c r="AF19" i="1"/>
  <c r="E7" i="17"/>
  <c r="H7" i="17" s="1"/>
  <c r="G33" i="20"/>
  <c r="R6" i="1"/>
  <c r="R4" i="1" s="1"/>
  <c r="F30" i="20"/>
  <c r="H12" i="20" s="1"/>
  <c r="F14" i="29"/>
  <c r="U4" i="1"/>
  <c r="F13" i="31"/>
  <c r="F16" i="30"/>
  <c r="F22" i="33"/>
  <c r="F15" i="16"/>
  <c r="F15" i="29"/>
  <c r="F21" i="28"/>
  <c r="G19" i="28" s="1"/>
  <c r="AF41" i="1"/>
  <c r="F21" i="30"/>
  <c r="F28" i="32"/>
  <c r="F28" i="33"/>
  <c r="F20" i="31"/>
  <c r="AD35" i="1"/>
  <c r="AF61" i="1"/>
  <c r="AB50" i="1"/>
  <c r="F25" i="30"/>
  <c r="G24" i="30" s="1"/>
  <c r="G13" i="17"/>
  <c r="F17" i="32"/>
  <c r="F17" i="30"/>
  <c r="F25" i="31"/>
  <c r="AD50" i="1"/>
  <c r="E17" i="17"/>
  <c r="H17" i="17" s="1"/>
  <c r="G37" i="20"/>
  <c r="G36" i="20"/>
  <c r="G19" i="22"/>
  <c r="F15" i="32"/>
  <c r="F22" i="34"/>
  <c r="F15" i="33"/>
  <c r="AF37" i="1"/>
  <c r="AB35" i="1"/>
  <c r="F20" i="30"/>
  <c r="AB6" i="1"/>
  <c r="F20" i="25"/>
  <c r="F21" i="24"/>
  <c r="F21" i="26"/>
  <c r="F13" i="25"/>
  <c r="D17" i="17"/>
  <c r="G37" i="19"/>
  <c r="F22" i="25"/>
  <c r="F14" i="31"/>
  <c r="F15" i="26"/>
  <c r="F30" i="19"/>
  <c r="H12" i="19" s="1"/>
  <c r="AF18" i="1"/>
  <c r="F15" i="24"/>
  <c r="F22" i="26"/>
  <c r="F15" i="25"/>
  <c r="F22" i="24"/>
  <c r="W4" i="1"/>
  <c r="AF11" i="1"/>
  <c r="G12" i="23"/>
  <c r="F14" i="16"/>
  <c r="F22" i="30"/>
  <c r="G36" i="19"/>
  <c r="AD6" i="1"/>
  <c r="G9" i="17"/>
  <c r="G12" i="22"/>
  <c r="F23" i="34" l="1"/>
  <c r="G24" i="24"/>
  <c r="G12" i="24"/>
  <c r="G33" i="24" s="1"/>
  <c r="G24" i="31"/>
  <c r="F16" i="32"/>
  <c r="G37" i="16"/>
  <c r="G37" i="29"/>
  <c r="F13" i="33"/>
  <c r="G36" i="29"/>
  <c r="G36" i="16"/>
  <c r="G12" i="26"/>
  <c r="G33" i="26" s="1"/>
  <c r="G34" i="28"/>
  <c r="G19" i="31"/>
  <c r="F14" i="34"/>
  <c r="F21" i="34"/>
  <c r="G12" i="30"/>
  <c r="G34" i="30" s="1"/>
  <c r="Y4" i="1"/>
  <c r="F27" i="33"/>
  <c r="F27" i="32"/>
  <c r="F27" i="34"/>
  <c r="G37" i="22"/>
  <c r="F30" i="23"/>
  <c r="H15" i="23" s="1"/>
  <c r="F17" i="33"/>
  <c r="F14" i="33"/>
  <c r="J7" i="17"/>
  <c r="G36" i="23"/>
  <c r="G37" i="23"/>
  <c r="H15" i="20"/>
  <c r="H13" i="20"/>
  <c r="H22" i="20"/>
  <c r="H27" i="20"/>
  <c r="H24" i="20"/>
  <c r="F14" i="32"/>
  <c r="H28" i="20"/>
  <c r="H20" i="20"/>
  <c r="H14" i="20"/>
  <c r="G36" i="22"/>
  <c r="AD4" i="1"/>
  <c r="AB4" i="1"/>
  <c r="G12" i="31"/>
  <c r="G33" i="31" s="1"/>
  <c r="G34" i="23"/>
  <c r="I7" i="17"/>
  <c r="H26" i="20"/>
  <c r="H16" i="20"/>
  <c r="H25" i="20"/>
  <c r="G12" i="29"/>
  <c r="F30" i="29" s="1"/>
  <c r="H21" i="29" s="1"/>
  <c r="H21" i="20"/>
  <c r="H19" i="20"/>
  <c r="H17" i="20"/>
  <c r="F22" i="32"/>
  <c r="G12" i="16"/>
  <c r="G12" i="25"/>
  <c r="G19" i="25"/>
  <c r="G36" i="28"/>
  <c r="G37" i="28"/>
  <c r="F29" i="28"/>
  <c r="H19" i="28" s="1"/>
  <c r="F17" i="17"/>
  <c r="J17" i="17"/>
  <c r="F16" i="34"/>
  <c r="F20" i="32"/>
  <c r="F25" i="34"/>
  <c r="F20" i="33"/>
  <c r="AF35" i="1"/>
  <c r="H17" i="19"/>
  <c r="H22" i="19"/>
  <c r="H25" i="19"/>
  <c r="H27" i="19"/>
  <c r="H13" i="19"/>
  <c r="H19" i="19"/>
  <c r="H28" i="19"/>
  <c r="H15" i="19"/>
  <c r="F13" i="34"/>
  <c r="AF6" i="1"/>
  <c r="F13" i="32"/>
  <c r="F20" i="34"/>
  <c r="G19" i="30"/>
  <c r="F25" i="33"/>
  <c r="F25" i="32"/>
  <c r="AF50" i="1"/>
  <c r="H26" i="19"/>
  <c r="F21" i="33"/>
  <c r="F21" i="32"/>
  <c r="F30" i="22"/>
  <c r="H26" i="22" s="1"/>
  <c r="F15" i="34"/>
  <c r="H16" i="19"/>
  <c r="F24" i="34"/>
  <c r="H24" i="19"/>
  <c r="H20" i="19"/>
  <c r="G33" i="23"/>
  <c r="H21" i="19"/>
  <c r="G19" i="26"/>
  <c r="H14" i="19"/>
  <c r="G19" i="24"/>
  <c r="G33" i="22"/>
  <c r="G7" i="17" s="1"/>
  <c r="G34" i="22"/>
  <c r="G34" i="24" l="1"/>
  <c r="G37" i="31"/>
  <c r="F30" i="24"/>
  <c r="H15" i="24" s="1"/>
  <c r="G24" i="32"/>
  <c r="G24" i="33"/>
  <c r="F30" i="26"/>
  <c r="H15" i="26" s="1"/>
  <c r="G36" i="31"/>
  <c r="G34" i="26"/>
  <c r="F30" i="30"/>
  <c r="H19" i="30" s="1"/>
  <c r="G33" i="30"/>
  <c r="G12" i="33"/>
  <c r="G33" i="33" s="1"/>
  <c r="H20" i="23"/>
  <c r="H12" i="23"/>
  <c r="H17" i="23"/>
  <c r="H26" i="23"/>
  <c r="H27" i="23"/>
  <c r="H28" i="23"/>
  <c r="H19" i="23"/>
  <c r="H24" i="23"/>
  <c r="H16" i="23"/>
  <c r="H14" i="23"/>
  <c r="H22" i="23"/>
  <c r="H21" i="23"/>
  <c r="H13" i="23"/>
  <c r="H25" i="23"/>
  <c r="G19" i="32"/>
  <c r="G12" i="32"/>
  <c r="F29" i="25"/>
  <c r="H21" i="25" s="1"/>
  <c r="G34" i="29"/>
  <c r="G33" i="29"/>
  <c r="F30" i="31"/>
  <c r="H12" i="31" s="1"/>
  <c r="G34" i="31"/>
  <c r="H27" i="22"/>
  <c r="H12" i="22"/>
  <c r="H28" i="22"/>
  <c r="G37" i="25"/>
  <c r="H24" i="29"/>
  <c r="H19" i="29"/>
  <c r="H17" i="29"/>
  <c r="H16" i="29"/>
  <c r="H15" i="29"/>
  <c r="H14" i="29"/>
  <c r="H27" i="29"/>
  <c r="H20" i="29"/>
  <c r="H25" i="29"/>
  <c r="H28" i="29"/>
  <c r="H12" i="29"/>
  <c r="H13" i="29"/>
  <c r="H26" i="29"/>
  <c r="H22" i="29"/>
  <c r="H15" i="22"/>
  <c r="H24" i="22"/>
  <c r="H19" i="22"/>
  <c r="H16" i="22"/>
  <c r="G36" i="25"/>
  <c r="H20" i="22"/>
  <c r="H13" i="22"/>
  <c r="H25" i="22"/>
  <c r="H17" i="22"/>
  <c r="G33" i="25"/>
  <c r="G34" i="25"/>
  <c r="H22" i="22"/>
  <c r="H21" i="28"/>
  <c r="F30" i="16"/>
  <c r="G34" i="16"/>
  <c r="G33" i="16"/>
  <c r="H21" i="22"/>
  <c r="G19" i="34"/>
  <c r="H22" i="28"/>
  <c r="H25" i="28"/>
  <c r="H17" i="28"/>
  <c r="H24" i="28"/>
  <c r="H27" i="28"/>
  <c r="H12" i="28"/>
  <c r="H14" i="28"/>
  <c r="H20" i="28"/>
  <c r="H13" i="28"/>
  <c r="H26" i="28"/>
  <c r="H16" i="28"/>
  <c r="H23" i="28"/>
  <c r="H15" i="28"/>
  <c r="G37" i="26"/>
  <c r="G36" i="26"/>
  <c r="G37" i="30"/>
  <c r="G36" i="30"/>
  <c r="G37" i="24"/>
  <c r="G36" i="24"/>
  <c r="AF4" i="1"/>
  <c r="H14" i="22"/>
  <c r="G12" i="34"/>
  <c r="G19" i="33"/>
  <c r="H14" i="24" l="1"/>
  <c r="H24" i="24"/>
  <c r="H13" i="24"/>
  <c r="H26" i="24"/>
  <c r="H12" i="24"/>
  <c r="H21" i="24"/>
  <c r="H17" i="24"/>
  <c r="H16" i="24"/>
  <c r="H20" i="24"/>
  <c r="H22" i="24"/>
  <c r="H25" i="24"/>
  <c r="H27" i="24"/>
  <c r="H19" i="24"/>
  <c r="G36" i="32"/>
  <c r="H28" i="24"/>
  <c r="H16" i="30"/>
  <c r="G34" i="33"/>
  <c r="H20" i="26"/>
  <c r="H24" i="26"/>
  <c r="H12" i="26"/>
  <c r="H21" i="26"/>
  <c r="H27" i="26"/>
  <c r="H16" i="26"/>
  <c r="H14" i="26"/>
  <c r="H25" i="26"/>
  <c r="H22" i="26"/>
  <c r="H28" i="26"/>
  <c r="H19" i="26"/>
  <c r="H17" i="26"/>
  <c r="H26" i="26"/>
  <c r="H13" i="26"/>
  <c r="H22" i="30"/>
  <c r="H13" i="30"/>
  <c r="H25" i="30"/>
  <c r="H14" i="30"/>
  <c r="H12" i="30"/>
  <c r="H15" i="30"/>
  <c r="H28" i="30"/>
  <c r="H24" i="30"/>
  <c r="H21" i="30"/>
  <c r="H27" i="30"/>
  <c r="H26" i="30"/>
  <c r="H20" i="30"/>
  <c r="H17" i="30"/>
  <c r="F30" i="32"/>
  <c r="H15" i="32" s="1"/>
  <c r="G37" i="32"/>
  <c r="G33" i="32"/>
  <c r="G34" i="32"/>
  <c r="H24" i="25"/>
  <c r="H19" i="31"/>
  <c r="H19" i="25"/>
  <c r="H13" i="25"/>
  <c r="H26" i="25"/>
  <c r="H16" i="25"/>
  <c r="H14" i="31"/>
  <c r="H23" i="25"/>
  <c r="H25" i="25"/>
  <c r="H22" i="25"/>
  <c r="H17" i="25"/>
  <c r="H12" i="25"/>
  <c r="H27" i="25"/>
  <c r="H20" i="25"/>
  <c r="H14" i="25"/>
  <c r="H15" i="25"/>
  <c r="H25" i="31"/>
  <c r="H26" i="31"/>
  <c r="H17" i="31"/>
  <c r="H22" i="31"/>
  <c r="H27" i="31"/>
  <c r="H16" i="31"/>
  <c r="H20" i="31"/>
  <c r="H28" i="31"/>
  <c r="H24" i="31"/>
  <c r="H21" i="31"/>
  <c r="H13" i="31"/>
  <c r="H15" i="31"/>
  <c r="H17" i="16"/>
  <c r="H15" i="16"/>
  <c r="H25" i="16"/>
  <c r="H27" i="16"/>
  <c r="H12" i="16"/>
  <c r="H21" i="16"/>
  <c r="H24" i="16"/>
  <c r="H22" i="16"/>
  <c r="H14" i="16"/>
  <c r="H16" i="16"/>
  <c r="H13" i="16"/>
  <c r="H20" i="16"/>
  <c r="H19" i="16"/>
  <c r="H26" i="16"/>
  <c r="H28" i="16"/>
  <c r="G37" i="33"/>
  <c r="G36" i="33"/>
  <c r="G33" i="34"/>
  <c r="F29" i="34"/>
  <c r="H12" i="34" s="1"/>
  <c r="G34" i="34"/>
  <c r="G37" i="34"/>
  <c r="G36" i="34"/>
  <c r="F30" i="33"/>
  <c r="H12" i="32" l="1"/>
  <c r="H14" i="32"/>
  <c r="H27" i="32"/>
  <c r="H21" i="32"/>
  <c r="H17" i="32"/>
  <c r="H16" i="32"/>
  <c r="H26" i="32"/>
  <c r="H24" i="32"/>
  <c r="H20" i="32"/>
  <c r="H13" i="32"/>
  <c r="H25" i="32"/>
  <c r="H19" i="32"/>
  <c r="H22" i="32"/>
  <c r="H28" i="32"/>
  <c r="H19" i="33"/>
  <c r="H15" i="33"/>
  <c r="H14" i="33"/>
  <c r="H28" i="33"/>
  <c r="H16" i="33"/>
  <c r="H22" i="33"/>
  <c r="H21" i="33"/>
  <c r="H25" i="33"/>
  <c r="H27" i="33"/>
  <c r="H17" i="33"/>
  <c r="H24" i="33"/>
  <c r="H26" i="33"/>
  <c r="H20" i="33"/>
  <c r="H12" i="33"/>
  <c r="H13" i="33"/>
  <c r="H19" i="34"/>
  <c r="H22" i="34"/>
  <c r="H23" i="34"/>
  <c r="H27" i="34"/>
  <c r="H24" i="34"/>
  <c r="H17" i="34"/>
  <c r="H26" i="34"/>
  <c r="H20" i="34"/>
  <c r="H25" i="34"/>
  <c r="H15" i="34"/>
  <c r="H13" i="34"/>
  <c r="H21" i="34"/>
  <c r="H14" i="34"/>
  <c r="H16" i="3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  <author>tc={E307128B-1BDC-4C3B-93C1-1D9FE6B6B280}</author>
    <author>tc={892A9465-E396-4A80-B194-54870B6482F9}</author>
  </authors>
  <commentList>
    <comment ref="G3" authorId="0" shapeId="0" xr:uid="{011B3A18-549D-774D-90AE-9E4A7CF4A5E4}">
      <text>
        <r>
          <rPr>
            <sz val="10"/>
            <color rgb="FF000000"/>
            <rFont val="Tahoma"/>
            <family val="2"/>
          </rPr>
          <t xml:space="preserve">Factoren te halen van www.CO2emissiefactoren.nl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Gebruik de voor dat jaar geldende emissiefactoren, let op overzicht herberekening CO2-emissiefactoren i.v.m. methodewijzigingen.</t>
        </r>
      </text>
    </comment>
    <comment ref="H3" authorId="0" shapeId="0" xr:uid="{92688B59-832E-794F-BCE6-80735329493E}">
      <text>
        <r>
          <rPr>
            <sz val="10"/>
            <color rgb="FF000000"/>
            <rFont val="Tahoma"/>
            <family val="2"/>
          </rPr>
          <t xml:space="preserve">Factoren te halen van www.CO2emissiefactoren.nl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Gebruik de voor dat jaar geldende emissiefactoren, let op overzicht herberekening CO2-emissiefactoren i.v.m. methodewijzigingen.</t>
        </r>
      </text>
    </comment>
    <comment ref="I3" authorId="0" shapeId="0" xr:uid="{9608184E-EFCA-3A40-BDF9-F8401604C471}">
      <text>
        <r>
          <rPr>
            <sz val="10"/>
            <color rgb="FF000000"/>
            <rFont val="Tahoma"/>
            <family val="2"/>
          </rPr>
          <t xml:space="preserve">Factoren te halen van www.CO2emissiefactoren.nl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Gebruik de voor dat jaar geldende emissiefactoren, let op overzicht herberekening CO2-emissiefactoren i.v.m. methodewijzigingen.</t>
        </r>
      </text>
    </comment>
    <comment ref="J3" authorId="0" shapeId="0" xr:uid="{D8C5555C-4691-DB4B-8834-2079D2CDFF88}">
      <text>
        <r>
          <rPr>
            <sz val="10"/>
            <color rgb="FF000000"/>
            <rFont val="Tahoma"/>
            <family val="2"/>
          </rPr>
          <t xml:space="preserve">Factoren te halen van www.CO2emissiefactoren.nl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Gebruik de voor dat jaar geldende emissiefactoren, let op overzicht herberekening CO2-emissiefactoren i.v.m. methodewijzigingen.</t>
        </r>
      </text>
    </comment>
    <comment ref="L3" authorId="0" shapeId="0" xr:uid="{5F41BF1C-2AFC-E64F-840F-1276DC4EAC8B}">
      <text>
        <r>
          <rPr>
            <sz val="10"/>
            <color rgb="FF000000"/>
            <rFont val="Tahoma"/>
            <family val="2"/>
          </rPr>
          <t xml:space="preserve">Factoren te halen van www.CO2emissiefactoren.nl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Gebruik de voor dat jaar geldende emissiefactoren, let op overzicht herberekening CO2-emissiefactoren i.v.m. methodewijzigingen.</t>
        </r>
      </text>
    </comment>
    <comment ref="Z3" authorId="0" shapeId="0" xr:uid="{A4DAD871-D769-FE4B-9AB1-AC2C081E9799}">
      <text>
        <r>
          <rPr>
            <sz val="10"/>
            <color rgb="FF000000"/>
            <rFont val="Tahoma"/>
            <family val="2"/>
          </rPr>
          <t xml:space="preserve">Factoren te halen van www.CO2emissiefactoren.nl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Gebruik de voor dat jaar geldende emissiefactoren, let op overzicht herberekening CO2-emissiefactoren i.v.m. methodewijzigingen.</t>
        </r>
      </text>
    </comment>
    <comment ref="J17" authorId="1" shapeId="0" xr:uid="{E307128B-1BDC-4C3B-93C1-1D9FE6B6B280}">
      <text>
        <t xml:space="preserve"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Diesel: 0,8 x 3256 =2604,8
HVO100: 0,2 x 347 = 69,4
Nieuwe conversiefactor HVO20: 2674,2
</t>
      </text>
    </comment>
    <comment ref="S17" authorId="2" shapeId="0" xr:uid="{892A9465-E396-4A80-B194-54870B6482F9}">
      <text>
        <t xml:space="preserve"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Diesel 0,8x3251=2600,8
HVO 0,2x441=88,2
2689
</t>
      </text>
    </comment>
    <comment ref="C30" authorId="0" shapeId="0" xr:uid="{767797F5-C319-C94A-8980-4154AD95B5B7}">
      <text>
        <r>
          <rPr>
            <sz val="10"/>
            <color rgb="FF000000"/>
            <rFont val="Tahoma"/>
            <family val="2"/>
          </rPr>
          <t xml:space="preserve">https://gasflessen.nu/dichtheid-propaan/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1ltr vloeibare propaan is 0,51kg.</t>
        </r>
      </text>
    </comment>
    <comment ref="C38" authorId="0" shapeId="0" xr:uid="{73689A86-6840-0D48-A173-0E072FD48E0B}">
      <text>
        <r>
          <rPr>
            <sz val="10"/>
            <color rgb="FF000000"/>
            <rFont val="Calibri"/>
            <family val="2"/>
          </rPr>
          <t xml:space="preserve">Als de emissiefactor van groene stroom uit biomassa is berekend volgens NTA 8080, Green Gold Label of gelijkwaardig dan mag je die factor van de leverancier gebruiken.
</t>
        </r>
        <r>
          <rPr>
            <sz val="10"/>
            <color rgb="FF000000"/>
            <rFont val="Calibri"/>
            <family val="2"/>
          </rPr>
          <t xml:space="preserve">Anders factor via CO2emissiefactoren.nl
</t>
        </r>
      </text>
    </comment>
    <comment ref="C39" authorId="0" shapeId="0" xr:uid="{0A607B9D-2AFD-8B4F-926E-D254E02E7832}">
      <text>
        <r>
          <rPr>
            <sz val="10"/>
            <color rgb="FF000000"/>
            <rFont val="Tahoma"/>
            <family val="2"/>
          </rPr>
          <t>Vanaf norm 3.1. mag 'stroom onbekend' niet meer gebruikt worden.</t>
        </r>
      </text>
    </comment>
    <comment ref="C42" authorId="0" shapeId="0" xr:uid="{DB00811C-0095-054E-AE02-A272B2C8B9CB}">
      <text>
        <r>
          <rPr>
            <sz val="10"/>
            <color rgb="FF000000"/>
            <rFont val="Tahoma"/>
            <family val="2"/>
          </rPr>
          <t xml:space="preserve">Als de emissiefactor van groene stroom uit biomassa is berekend volgens NTA 8080, Green Gold Label of gelijkwaardig dan mag je die factor van de leverancier gebruiken.
</t>
        </r>
        <r>
          <rPr>
            <sz val="10"/>
            <color rgb="FF000000"/>
            <rFont val="Tahoma"/>
            <family val="2"/>
          </rPr>
          <t>Anders factor via CO2emissiefactoren.nl</t>
        </r>
      </text>
    </comment>
    <comment ref="B50" authorId="0" shapeId="0" xr:uid="{7AD4A353-2555-9C4A-BD31-FC2110A8EA77}">
      <text>
        <r>
          <rPr>
            <sz val="10"/>
            <color rgb="FF000000"/>
            <rFont val="Calibri"/>
            <family val="2"/>
          </rPr>
          <t>Emissies van het transport van personen voor bedrijfsdoeleinden, met voertuigen in eigendom of in beheer van een derde partij.</t>
        </r>
      </text>
    </comment>
    <comment ref="C69" authorId="0" shapeId="0" xr:uid="{09752EDB-3C08-664A-BAFB-DCB4296A7677}">
      <text>
        <r>
          <rPr>
            <sz val="10"/>
            <color rgb="FF000000"/>
            <rFont val="Tahoma"/>
            <family val="2"/>
          </rPr>
          <t>Deze groep wordt pas gebruikt vanaf 2021.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F6" authorId="0" shapeId="0" xr:uid="{00000000-0006-0000-0B00-000001000000}">
      <text>
        <r>
          <rPr>
            <b/>
            <sz val="9"/>
            <color indexed="81"/>
            <rFont val="Calibri"/>
            <family val="2"/>
          </rPr>
          <t>Auteur:</t>
        </r>
        <r>
          <rPr>
            <sz val="9"/>
            <color indexed="81"/>
            <rFont val="Calibri"/>
            <family val="2"/>
          </rPr>
          <t xml:space="preserve">
doelstelling t.o.v. basisjaar 2013</t>
        </r>
      </text>
    </comment>
    <comment ref="F27" authorId="0" shapeId="0" xr:uid="{00000000-0006-0000-0B00-000002000000}">
      <text>
        <r>
          <rPr>
            <b/>
            <sz val="9"/>
            <color indexed="81"/>
            <rFont val="Calibri"/>
            <family val="2"/>
          </rPr>
          <t>Auteur:</t>
        </r>
        <r>
          <rPr>
            <sz val="9"/>
            <color indexed="81"/>
            <rFont val="Calibri"/>
            <family val="2"/>
          </rPr>
          <t xml:space="preserve">
doelstelling t.o.v. basisjaar 2013</t>
        </r>
      </text>
    </comment>
    <comment ref="J33" authorId="0" shapeId="0" xr:uid="{00000000-0006-0000-0B00-000003000000}">
      <text>
        <r>
          <rPr>
            <b/>
            <sz val="9"/>
            <color indexed="81"/>
            <rFont val="Calibri"/>
            <family val="2"/>
          </rPr>
          <t>Auteur:</t>
        </r>
        <r>
          <rPr>
            <sz val="9"/>
            <color indexed="81"/>
            <rFont val="Calibri"/>
            <family val="2"/>
          </rPr>
          <t xml:space="preserve">
in Q1-2015 is 8900m2 asfalt gelegt. Conversiefactor is benoemd in document 04a. Toelichting wegenonderhoud Haarlemmermeer NEW
Conversiefactor * aantal definitief gelegde m2 delen door 10 ivm conversiefactor per 10m2 delen door 100.000 ivm. ton ipv kg uitstoot.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<sst xmlns="http://schemas.openxmlformats.org/spreadsheetml/2006/main" count="840" uniqueCount="219">
  <si>
    <t>Scope 2</t>
  </si>
  <si>
    <t>Scope 1</t>
  </si>
  <si>
    <t>Type verbruik</t>
  </si>
  <si>
    <t>Groep verbruik/uitstoot</t>
  </si>
  <si>
    <t>Scopes in cirkeldiagram</t>
  </si>
  <si>
    <t>Bedrijfsnaam:</t>
  </si>
  <si>
    <t>KVK-nummer:</t>
  </si>
  <si>
    <t>% totaal</t>
  </si>
  <si>
    <t>Overige energiedragers</t>
  </si>
  <si>
    <t>jaar</t>
  </si>
  <si>
    <t>Zakelijk verkeer: wagenpark</t>
  </si>
  <si>
    <t>Datum:</t>
  </si>
  <si>
    <t>….</t>
  </si>
  <si>
    <t>Personenvervoer vliegtuig</t>
  </si>
  <si>
    <t>&lt; 700 km</t>
  </si>
  <si>
    <t>700 - 2.500 km</t>
  </si>
  <si>
    <t>&gt; 2.500 km</t>
  </si>
  <si>
    <t>Brandstof niet bekend</t>
  </si>
  <si>
    <t>(de meest voorkomende energiedragers zijn hier opgenomen)</t>
  </si>
  <si>
    <t>Aardgas-Nm3</t>
  </si>
  <si>
    <t>Totaal scope 1, 2 en 3:</t>
  </si>
  <si>
    <t>Scope 1:</t>
  </si>
  <si>
    <t>Scope 2:</t>
  </si>
  <si>
    <t>Scope 3:</t>
  </si>
  <si>
    <t>&lt;LOGO&gt;</t>
  </si>
  <si>
    <t>Zakelijk verkeer: priveauto's</t>
  </si>
  <si>
    <t>Woon-werkverkeer: priveauto</t>
  </si>
  <si>
    <t>Zakelijk verkeer: OV</t>
  </si>
  <si>
    <t>Woon-werkverkeer: OV</t>
  </si>
  <si>
    <t>Electriciteitsverbruik op klantlocatie</t>
  </si>
  <si>
    <t>Anders namelijk…</t>
  </si>
  <si>
    <t>B REDUCTIE</t>
  </si>
  <si>
    <t>CO2 uitstoot per € 100.000,- omzet</t>
  </si>
  <si>
    <t>realisatie</t>
  </si>
  <si>
    <t>doelstelling</t>
  </si>
  <si>
    <t>brandstof</t>
  </si>
  <si>
    <t>aardgas</t>
  </si>
  <si>
    <t>stroom</t>
  </si>
  <si>
    <t>bitumen</t>
  </si>
  <si>
    <t>woon-werkverkeer priveauto</t>
  </si>
  <si>
    <t>CO2 uitstoot per aantal medewerkers</t>
  </si>
  <si>
    <t>scope 1</t>
  </si>
  <si>
    <t>scope 2</t>
  </si>
  <si>
    <t>scope 3</t>
  </si>
  <si>
    <t>De doelstellingen worden jaarlijks in de managementreview besproken en beoordeeld op ambitie-niveau.</t>
  </si>
  <si>
    <t>Reflectie plan en realisatie</t>
  </si>
  <si>
    <t>Gekozen is een verdeelsleutel te maken a.d.h.v. de omzet, dit geeft de volgende verdeelsleutel.</t>
  </si>
  <si>
    <t>H1 2016</t>
  </si>
  <si>
    <t>Zakelijk verkeer: vrachtverkeer</t>
  </si>
  <si>
    <t>project &lt;naam project&gt;</t>
  </si>
  <si>
    <t>Verwarming: aardgas</t>
  </si>
  <si>
    <t>Zakelijk verkeer: priveauto</t>
  </si>
  <si>
    <t>2016 H1</t>
  </si>
  <si>
    <t>H2</t>
  </si>
  <si>
    <t>omzet *</t>
  </si>
  <si>
    <t>&lt;toelichting, kunnen we ergens reductie of een verschuiving zien.&gt;</t>
  </si>
  <si>
    <t>&lt;welke verschuivingen zijn opmerkelijk, zijn hier verklaringen voor?&gt;</t>
  </si>
  <si>
    <t>..</t>
  </si>
  <si>
    <t>Reductiedoelstellingen zijn, refererend aan &lt;de omzet&gt;, in alle gevallen en scopes gerealiseerd, afgezien &lt;het ….verbruik&gt;. (5B2)</t>
  </si>
  <si>
    <t>Overige energie: stadswarmte</t>
  </si>
  <si>
    <t>Elektriciteitsverbruik</t>
  </si>
  <si>
    <t>Trein type onbekend</t>
  </si>
  <si>
    <t>Eigen locatie</t>
  </si>
  <si>
    <t>Projectlocaties</t>
  </si>
  <si>
    <t>Totaal:</t>
  </si>
  <si>
    <t>2017 H1</t>
  </si>
  <si>
    <t>H2 2016</t>
  </si>
  <si>
    <t>H1 2017</t>
  </si>
  <si>
    <t>2018 H1</t>
  </si>
  <si>
    <t>H2 2017</t>
  </si>
  <si>
    <t>H1 2018</t>
  </si>
  <si>
    <t>Doelstellingen in 2017 voor 2018 en 2019</t>
  </si>
  <si>
    <t>in 2018 t.o.v. 2017</t>
  </si>
  <si>
    <t>in 2019 t.o.v. 2017</t>
  </si>
  <si>
    <t>Warmtelevering restwarmte zonder bijstook-GJ</t>
  </si>
  <si>
    <t>OV algemeen</t>
  </si>
  <si>
    <t>Projecten met gunningsvoordeel</t>
  </si>
  <si>
    <t>Onze projecten kunnen, gezien de grote, complexiteit en interactie met andere projecten / processen, niet separaat worden gemeten.</t>
  </si>
  <si>
    <t>Hiervoor is een verdeelsleutel bepaald om wel een eerste eigene emissie-analyse te maken van dit project over het emissiejaar.</t>
  </si>
  <si>
    <t>Zakelijk verkeer: electr. wagenpark</t>
  </si>
  <si>
    <t>gem.aantal FTE</t>
  </si>
  <si>
    <t>omzet</t>
  </si>
  <si>
    <t>Bron:</t>
  </si>
  <si>
    <t>enkel meegenomen in uitstoot 'buiten'</t>
  </si>
  <si>
    <t>incl. scope 2 elektrisch zakelijk verkeer</t>
  </si>
  <si>
    <t>Toelichting</t>
  </si>
  <si>
    <t>Buiten</t>
  </si>
  <si>
    <t>Binnen</t>
  </si>
  <si>
    <t xml:space="preserve">  VERDEELSLEUTELS</t>
  </si>
  <si>
    <t>x</t>
  </si>
  <si>
    <t>percentage</t>
  </si>
  <si>
    <t>Groene stroom: wind / water / zonne-energie _ (incl. GVO CertiQ)</t>
  </si>
  <si>
    <t>Uitstoot …kg  per …km</t>
  </si>
  <si>
    <t>Business travel - scope 3</t>
  </si>
  <si>
    <t>Uitstoot huishouden</t>
  </si>
  <si>
    <t>Onderbouwing bij 'toelichting voor de beeldvorming onder iedere voetprint.</t>
  </si>
  <si>
    <t>Totaal scope 1, 2 en business travel</t>
  </si>
  <si>
    <t>(dit betreft uitstoot door overig materieel; denk aan heftruck, shovel, aggregaat, kettingzaag, lasapparaat etc.)</t>
  </si>
  <si>
    <t>LPG</t>
  </si>
  <si>
    <t>Bus type onbekend</t>
  </si>
  <si>
    <t>Niet meegenomen: Business travel en verdere scope 3 uitstoot.</t>
  </si>
  <si>
    <t>Overige energie, verwarming (gas/stadswarmte)</t>
  </si>
  <si>
    <t>Elektriciteitsverbruik (excl. EV)</t>
  </si>
  <si>
    <t>Verdeling voetprint t.b.v. organisaties met projectlocaties / leveringen.</t>
  </si>
  <si>
    <t>De verdeling binnen-buiten is a.d.h.v. de volgende verdeelsleutels gemaakt. NB. Deze verdeling ligt vast voor de geldigheidstermijn van het certificaat.</t>
  </si>
  <si>
    <t>&lt;enkel nodig bij opstart certificering en er een vergelijking nodig is tussen 2 maal Q3-4 van een opvolgend jaar&gt;</t>
  </si>
  <si>
    <t>Bio-CNG (groengas)</t>
  </si>
  <si>
    <t>&lt;Anders namelijk...: niet op tabblad meegenomen&gt;</t>
  </si>
  <si>
    <t>&lt;invulling eis 2A1: inzicht in energieverbruik gedifferentieerd naar de verschillende activiteiten van de organisatie&gt;</t>
  </si>
  <si>
    <t>CO₂-uitstoot 
(in tonnen)</t>
  </si>
  <si>
    <t>CO₂-uitstoot
(in tonnen)</t>
  </si>
  <si>
    <t>Overige energiedragers (g CO₂ / liter-kg-Nm3)</t>
  </si>
  <si>
    <t>Overige energiedragers: verwarming (g CO₂ / Nm3)</t>
  </si>
  <si>
    <t>Elektriciteitsverbruik
(g CO₂ / kWh)
(of de CO₂ uitstoot zoals benoemd op het stroometiket)</t>
  </si>
  <si>
    <t xml:space="preserve">Zakelijk verkeer: eigen wagenpark
(elektrisch, bedrijfswagen of lease) (g CO₂ / kWh) </t>
  </si>
  <si>
    <t>Overige energiedragers: stadswarmte (g CO₂ /GJ)</t>
  </si>
  <si>
    <t>Zakelijk verkeer: priveauto (g CO₂ / km)</t>
  </si>
  <si>
    <t>Zakelijk verkeer: OV (g CO₂ / reizigerskm)</t>
  </si>
  <si>
    <t>https://www.milieucentraal.nl/klimaat-en-aarde/klimaatverandering/wat-is-je-CO₂-voetafdruk/</t>
  </si>
  <si>
    <t>CO₂-footprint</t>
  </si>
  <si>
    <t>ton CO₂</t>
  </si>
  <si>
    <t>CO₂-uitstoot per FTE, op jaarbasis</t>
  </si>
  <si>
    <t>Reserve weetje voor op de voetprints:</t>
  </si>
  <si>
    <t>• Om 1 ton CO₂ in 1 jaar te absorberen zijn er zo'n 50 volwassen bomen nodig.</t>
  </si>
  <si>
    <t>• Met 1 ton CO2 kun je 250.000 ballonnen vullen.</t>
  </si>
  <si>
    <t>Conversie-factoren 2020</t>
  </si>
  <si>
    <t>Conversie-factoren 2021</t>
  </si>
  <si>
    <t>Conversie-factoren 2022</t>
  </si>
  <si>
    <t>Gem. bus-tram-metro</t>
  </si>
  <si>
    <t>Groene stroom: elektriciteit uit biomassa onderbouwd 'zie notitie'.</t>
  </si>
  <si>
    <t>n.v.t.</t>
  </si>
  <si>
    <t>Groen = wijziging emissiefactoren (in voorgaande jaren ivm herberekening / methodewijziging)</t>
  </si>
  <si>
    <t>Grijze stroom incl. stroom onbekend</t>
  </si>
  <si>
    <t>-</t>
  </si>
  <si>
    <t>* omzet is x 1.000.000</t>
  </si>
  <si>
    <t>CO₂-uitstoot per 1 miljoen omzet</t>
  </si>
  <si>
    <t>Referentie-factor</t>
  </si>
  <si>
    <t>Scope 2 incl. business travel:</t>
  </si>
  <si>
    <t>fiets</t>
  </si>
  <si>
    <t>Warmtelevering gemiddelde warmtenetten</t>
  </si>
  <si>
    <t>Diesel (B7, blend)</t>
  </si>
  <si>
    <t>Benzine (E10, blend)</t>
  </si>
  <si>
    <t>Propaan-ltr</t>
  </si>
  <si>
    <t>Verwarming, gas</t>
  </si>
  <si>
    <t>Waterstof grijs-kg</t>
  </si>
  <si>
    <t>Groengas (stortgas)-Nm3 _ (onderbouwd)</t>
  </si>
  <si>
    <t>Groengas (covergisting)-Nm3 _ (onderbouwd)</t>
  </si>
  <si>
    <t>A INZICHT: energieverbruik omgerekend naar CO₂ emissies.</t>
  </si>
  <si>
    <t>Buiten/projecten</t>
  </si>
  <si>
    <t>Niveau 4/5: scope3 uitstoot vanuit D06.Analyse scope 3 emissies opnemen of duidelijk als scope 3 benoemen in D06.</t>
  </si>
  <si>
    <t>Zakelijk verkeer: personenauto's
(bedrijfswagen of lease) (g CO₂ / liter-kg)</t>
  </si>
  <si>
    <t>Zakelijk verkeer / goederenvervoer: bedrijfsbusjes (g CO₂ / liter)</t>
  </si>
  <si>
    <t>Zakelijk verkeer / goederenvervoer: vrachtwagens (g CO₂ / liter OF tonkm)</t>
  </si>
  <si>
    <t>Diesel (B7, blend) OF indicator per tonkm.</t>
  </si>
  <si>
    <t>Zakelijk verkeer: bedrijfsbusjes</t>
  </si>
  <si>
    <t>Zakelijk verkeer: personenvervoer</t>
  </si>
  <si>
    <t>Zakelijk verkeer: personenvervoer + prive-autos</t>
  </si>
  <si>
    <t>Zakelijk verkeer: bedrijfsbusjes + vrachtverkeer</t>
  </si>
  <si>
    <t>Conversie-factoren 2023</t>
  </si>
  <si>
    <t>Conversie-factoren 2024</t>
  </si>
  <si>
    <t>Verbruik 2024 H1</t>
  </si>
  <si>
    <t>Verbruik 2024 H2</t>
  </si>
  <si>
    <t>Verbruik 2024</t>
  </si>
  <si>
    <t>&lt;projectnaam met gunningsvoordeel&gt;</t>
  </si>
  <si>
    <t>00-00-2024</t>
  </si>
  <si>
    <t>00-00-2025</t>
  </si>
  <si>
    <t>&lt;benodigd t.b.v. groottebepaling&gt;</t>
  </si>
  <si>
    <t>overhead c.q. eigen locatie en projecten / leveringen</t>
  </si>
  <si>
    <t>Binnen/overhead</t>
  </si>
  <si>
    <t>Benzine vervangenr E85</t>
  </si>
  <si>
    <t>2024 H1</t>
  </si>
  <si>
    <t>2024 H2</t>
  </si>
  <si>
    <t>Totale omzet 2024</t>
  </si>
  <si>
    <t>&lt;naam project 2024&gt;</t>
  </si>
  <si>
    <t>g CO₂/ km (voorkeur ltrs + kWh te registreren ipv deze km's ivm accuratie)</t>
  </si>
  <si>
    <t>(groene stroom: bewijs van herkomst via certificaat van oorsprong of check www.hier.nu/groene-stroom-checker)</t>
  </si>
  <si>
    <t>Beide locaties, facturen, finance</t>
  </si>
  <si>
    <t>Werkplaats, facturen, finance</t>
  </si>
  <si>
    <t>Beide locaties, meterstanden, facility-manager</t>
  </si>
  <si>
    <t>00-00-2026</t>
  </si>
  <si>
    <t>00-00-2027</t>
  </si>
  <si>
    <t>2025 H1</t>
  </si>
  <si>
    <t>2025 H2</t>
  </si>
  <si>
    <t>2026 H1</t>
  </si>
  <si>
    <t>2026 H2</t>
  </si>
  <si>
    <t>Totale omzet 2025</t>
  </si>
  <si>
    <t>&lt;naam project 2025&gt;</t>
  </si>
  <si>
    <t>Totale omzet 2026</t>
  </si>
  <si>
    <t>&lt;naam project 2026&gt;</t>
  </si>
  <si>
    <t>Verbruik 2026</t>
  </si>
  <si>
    <t>Verbruik 2026 H2</t>
  </si>
  <si>
    <t>Verbruik 2026 H1</t>
  </si>
  <si>
    <t>Conversie-factoren 2026</t>
  </si>
  <si>
    <t>Verbruik 2025</t>
  </si>
  <si>
    <t>Verbruik 2025 H2</t>
  </si>
  <si>
    <t>Verbruik 2025 H1</t>
  </si>
  <si>
    <t>Conversie-factoren 2025</t>
  </si>
  <si>
    <t>Wanneer relevant: locatie, bron, data-eigenaar</t>
  </si>
  <si>
    <t>Conversiefactoren geupdate 12-02-2025</t>
  </si>
  <si>
    <t>Dieselvervanger HVO30</t>
  </si>
  <si>
    <t>Waterstof groen</t>
  </si>
  <si>
    <t>Waterstof grijs</t>
  </si>
  <si>
    <t>Biodiesel HVO100 / FAME</t>
  </si>
  <si>
    <t>vervallen</t>
  </si>
  <si>
    <t>Diesel middel</t>
  </si>
  <si>
    <t>Benzine middel</t>
  </si>
  <si>
    <t>Trein elektrisch, groene stroom</t>
  </si>
  <si>
    <t>Trein internationaal, gem. stroommix</t>
  </si>
  <si>
    <t>Tram elektrisch, groene stroom</t>
  </si>
  <si>
    <t>Metro elektrisch, groene stroom</t>
  </si>
  <si>
    <t>Elektrische fiets, gem. stroommix vanaf '23</t>
  </si>
  <si>
    <t>Elektrische auto, gem. stroommix vanaf '23</t>
  </si>
  <si>
    <t>LEEG</t>
  </si>
  <si>
    <t>Smeeroliën-kg (TTW)</t>
  </si>
  <si>
    <t>…</t>
  </si>
  <si>
    <t>HVO20</t>
  </si>
  <si>
    <t>Zakelijk verkeer: bergingsvoertuigen</t>
  </si>
  <si>
    <t>Vreugdenhil Berging</t>
  </si>
  <si>
    <t>11-09-2025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</si>
</sst>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0.000"/>
    <numFmt numFmtId="166" formatCode="&quot;€&quot;\ #,##0_-"/>
  </numFmts>
  <fonts count="33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8"/>
      <name val="Calibri"/>
      <family val="2"/>
    </font>
    <font>
      <sz val="9"/>
      <color indexed="81"/>
      <name val="Calibri"/>
      <family val="2"/>
    </font>
    <font>
      <b/>
      <sz val="9"/>
      <color indexed="81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Trebuchet MS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i/>
      <sz val="11"/>
      <color theme="1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i/>
      <sz val="11"/>
      <color theme="1"/>
      <name val="Arial"/>
      <family val="2"/>
    </font>
    <font>
      <u/>
      <sz val="11"/>
      <color theme="1"/>
      <name val="Arial"/>
      <family val="2"/>
    </font>
    <font>
      <sz val="11"/>
      <color rgb="FF000000"/>
      <name val="Arial"/>
      <family val="2"/>
    </font>
    <font>
      <i/>
      <sz val="11"/>
      <color rgb="FF000000"/>
      <name val="Arial"/>
      <family val="2"/>
    </font>
    <font>
      <b/>
      <u/>
      <sz val="11"/>
      <color rgb="FF000000"/>
      <name val="Arial"/>
      <family val="2"/>
    </font>
    <font>
      <b/>
      <sz val="11"/>
      <color rgb="FF000000"/>
      <name val="Arial"/>
      <family val="2"/>
    </font>
    <font>
      <b/>
      <u/>
      <sz val="11"/>
      <color theme="1"/>
      <name val="Arial"/>
      <family val="2"/>
    </font>
    <font>
      <sz val="10"/>
      <color rgb="FF000000"/>
      <name val="Tahoma"/>
      <family val="2"/>
    </font>
    <font>
      <sz val="10"/>
      <color rgb="FF000000"/>
      <name val="Calibri"/>
      <family val="2"/>
    </font>
    <font>
      <sz val="9"/>
      <color rgb="FF00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9"/>
      <color indexed="81"/>
      <name val="Tahoma"/>
      <charset val="1"/>
    </font>
  </fonts>
  <fills count="10">
    <fill>
      <patternFill patternType="none"/>
    </fill>
    <fill>
      <patternFill patternType="gray125"/>
    </fill>
    <fill>
      <patternFill patternType="solid">
        <fgColor rgb="FFCFF9FD"/>
        <bgColor indexed="64"/>
      </patternFill>
    </fill>
    <fill>
      <patternFill patternType="solid">
        <fgColor rgb="FF14325A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4" tint="0.79998168889431442"/>
        <bgColor indexed="64"/>
      </patternFill>
    </fill>
  </fills>
  <borders count="115"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hair">
        <color auto="1"/>
      </left>
      <right/>
      <top/>
      <bottom style="double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/>
      <right style="hair">
        <color auto="1"/>
      </right>
      <top style="dotted">
        <color auto="1"/>
      </top>
      <bottom style="dotted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dotted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/>
      <right style="hair">
        <color auto="1"/>
      </right>
      <top style="dotted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dotted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 style="double">
        <color auto="1"/>
      </right>
      <top/>
      <bottom/>
      <diagonal/>
    </border>
    <border>
      <left/>
      <right style="hair">
        <color auto="1"/>
      </right>
      <top/>
      <bottom style="double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 style="hair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hair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 style="hair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 style="thin">
        <color auto="1"/>
      </bottom>
      <diagonal/>
    </border>
    <border>
      <left style="hair">
        <color auto="1"/>
      </left>
      <right/>
      <top style="dotted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hair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hair">
        <color auto="1"/>
      </right>
      <top style="dotted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/>
      <right/>
      <top style="dotted">
        <color auto="1"/>
      </top>
      <bottom style="double">
        <color auto="1"/>
      </bottom>
      <diagonal/>
    </border>
    <border>
      <left style="thin">
        <color auto="1"/>
      </left>
      <right style="hair">
        <color auto="1"/>
      </right>
      <top style="dotted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dotted">
        <color auto="1"/>
      </top>
      <bottom style="double">
        <color auto="1"/>
      </bottom>
      <diagonal/>
    </border>
    <border>
      <left/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/>
      <top style="dotted">
        <color auto="1"/>
      </top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auto="1"/>
      </left>
      <right style="hair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/>
      <right/>
      <top style="hair">
        <color auto="1"/>
      </top>
      <bottom style="double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/>
      <top style="hair">
        <color auto="1"/>
      </top>
      <bottom style="double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 style="dotted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/>
      <right style="hair">
        <color auto="1"/>
      </right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hair">
        <color auto="1"/>
      </right>
      <top/>
      <bottom style="dotted">
        <color auto="1"/>
      </bottom>
      <diagonal/>
    </border>
    <border>
      <left style="hair">
        <color auto="1"/>
      </left>
      <right style="thin">
        <color auto="1"/>
      </right>
      <top/>
      <bottom style="dotted">
        <color auto="1"/>
      </bottom>
      <diagonal/>
    </border>
    <border>
      <left style="hair">
        <color auto="1"/>
      </left>
      <right/>
      <top/>
      <bottom style="dotted">
        <color auto="1"/>
      </bottom>
      <diagonal/>
    </border>
    <border>
      <left/>
      <right/>
      <top style="dotted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dotted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dotted">
        <color auto="1"/>
      </top>
      <bottom style="hair">
        <color auto="1"/>
      </bottom>
      <diagonal/>
    </border>
    <border>
      <left/>
      <right style="hair">
        <color auto="1"/>
      </right>
      <top style="dotted">
        <color auto="1"/>
      </top>
      <bottom style="hair">
        <color auto="1"/>
      </bottom>
      <diagonal/>
    </border>
    <border>
      <left style="hair">
        <color auto="1"/>
      </left>
      <right/>
      <top style="dotted">
        <color auto="1"/>
      </top>
      <bottom style="hair">
        <color auto="1"/>
      </bottom>
      <diagonal/>
    </border>
    <border>
      <left/>
      <right style="hair">
        <color auto="1"/>
      </right>
      <top style="dotted">
        <color auto="1"/>
      </top>
      <bottom style="double">
        <color auto="1"/>
      </bottom>
      <diagonal/>
    </border>
  </borders>
  <cellStyleXfs count="10">
    <xf numFmtId="0" fontId="0" fillId="0" borderId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376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0" fillId="0" borderId="0" xfId="0" applyAlignment="1">
      <alignment horizontal="left"/>
    </xf>
    <xf numFmtId="0" fontId="8" fillId="0" borderId="0" xfId="0" applyFont="1"/>
    <xf numFmtId="49" fontId="0" fillId="0" borderId="0" xfId="0" applyNumberFormat="1"/>
    <xf numFmtId="49" fontId="0" fillId="0" borderId="0" xfId="0" applyNumberFormat="1" applyAlignment="1">
      <alignment vertical="center"/>
    </xf>
    <xf numFmtId="49" fontId="6" fillId="0" borderId="0" xfId="0" applyNumberFormat="1" applyFont="1" applyAlignment="1">
      <alignment horizontal="right"/>
    </xf>
    <xf numFmtId="49" fontId="5" fillId="0" borderId="0" xfId="0" applyNumberFormat="1" applyFont="1" applyAlignment="1">
      <alignment horizontal="right"/>
    </xf>
    <xf numFmtId="0" fontId="5" fillId="0" borderId="0" xfId="0" applyFont="1" applyAlignment="1">
      <alignment horizontal="right"/>
    </xf>
    <xf numFmtId="0" fontId="5" fillId="0" borderId="30" xfId="0" applyFont="1" applyBorder="1" applyAlignment="1">
      <alignment horizontal="right"/>
    </xf>
    <xf numFmtId="0" fontId="5" fillId="0" borderId="0" xfId="0" applyFont="1" applyAlignment="1">
      <alignment horizontal="center"/>
    </xf>
    <xf numFmtId="0" fontId="5" fillId="0" borderId="62" xfId="0" applyFont="1" applyBorder="1" applyAlignment="1">
      <alignment horizontal="center"/>
    </xf>
    <xf numFmtId="0" fontId="5" fillId="0" borderId="63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63" xfId="0" applyBorder="1" applyAlignment="1">
      <alignment horizontal="center"/>
    </xf>
    <xf numFmtId="165" fontId="5" fillId="0" borderId="0" xfId="0" applyNumberFormat="1" applyFont="1"/>
    <xf numFmtId="165" fontId="0" fillId="0" borderId="0" xfId="0" applyNumberFormat="1"/>
    <xf numFmtId="165" fontId="0" fillId="0" borderId="64" xfId="0" applyNumberFormat="1" applyBorder="1" applyAlignment="1">
      <alignment horizontal="center"/>
    </xf>
    <xf numFmtId="165" fontId="0" fillId="0" borderId="65" xfId="0" applyNumberFormat="1" applyBorder="1" applyAlignment="1">
      <alignment horizontal="center"/>
    </xf>
    <xf numFmtId="165" fontId="0" fillId="0" borderId="66" xfId="0" applyNumberFormat="1" applyBorder="1" applyAlignment="1">
      <alignment horizontal="center"/>
    </xf>
    <xf numFmtId="165" fontId="0" fillId="0" borderId="67" xfId="0" applyNumberFormat="1" applyBorder="1" applyAlignment="1">
      <alignment horizontal="center"/>
    </xf>
    <xf numFmtId="165" fontId="0" fillId="0" borderId="68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62" xfId="0" applyNumberFormat="1" applyBorder="1" applyAlignment="1">
      <alignment horizontal="center"/>
    </xf>
    <xf numFmtId="165" fontId="0" fillId="0" borderId="63" xfId="0" applyNumberFormat="1" applyBorder="1" applyAlignment="1">
      <alignment horizontal="center"/>
    </xf>
    <xf numFmtId="165" fontId="7" fillId="0" borderId="0" xfId="0" applyNumberFormat="1" applyFont="1" applyAlignment="1">
      <alignment horizontal="center"/>
    </xf>
    <xf numFmtId="165" fontId="7" fillId="0" borderId="62" xfId="0" applyNumberFormat="1" applyFont="1" applyBorder="1" applyAlignment="1">
      <alignment horizontal="center"/>
    </xf>
    <xf numFmtId="165" fontId="7" fillId="0" borderId="63" xfId="0" applyNumberFormat="1" applyFont="1" applyBorder="1" applyAlignment="1">
      <alignment horizontal="center"/>
    </xf>
    <xf numFmtId="165" fontId="9" fillId="0" borderId="0" xfId="0" applyNumberFormat="1" applyFont="1"/>
    <xf numFmtId="0" fontId="10" fillId="0" borderId="0" xfId="0" applyFont="1" applyAlignment="1">
      <alignment horizontal="center"/>
    </xf>
    <xf numFmtId="49" fontId="0" fillId="0" borderId="0" xfId="0" applyNumberFormat="1" applyAlignment="1">
      <alignment wrapText="1"/>
    </xf>
    <xf numFmtId="49" fontId="0" fillId="0" borderId="0" xfId="0" applyNumberFormat="1" applyAlignment="1">
      <alignment vertical="center" wrapText="1"/>
    </xf>
    <xf numFmtId="2" fontId="0" fillId="0" borderId="0" xfId="0" applyNumberFormat="1" applyAlignment="1">
      <alignment wrapText="1"/>
    </xf>
    <xf numFmtId="165" fontId="5" fillId="0" borderId="6" xfId="0" applyNumberFormat="1" applyFont="1" applyBorder="1"/>
    <xf numFmtId="165" fontId="0" fillId="0" borderId="6" xfId="0" applyNumberFormat="1" applyBorder="1"/>
    <xf numFmtId="165" fontId="0" fillId="0" borderId="69" xfId="0" applyNumberFormat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5" fontId="5" fillId="0" borderId="2" xfId="0" applyNumberFormat="1" applyFont="1" applyBorder="1"/>
    <xf numFmtId="165" fontId="0" fillId="0" borderId="2" xfId="0" applyNumberFormat="1" applyBorder="1"/>
    <xf numFmtId="165" fontId="0" fillId="0" borderId="70" xfId="0" applyNumberFormat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165" fontId="7" fillId="0" borderId="4" xfId="0" applyNumberFormat="1" applyFont="1" applyBorder="1" applyAlignment="1">
      <alignment horizontal="center"/>
    </xf>
    <xf numFmtId="165" fontId="0" fillId="5" borderId="64" xfId="0" applyNumberFormat="1" applyFill="1" applyBorder="1" applyAlignment="1">
      <alignment horizontal="center"/>
    </xf>
    <xf numFmtId="165" fontId="0" fillId="5" borderId="68" xfId="0" applyNumberFormat="1" applyFill="1" applyBorder="1" applyAlignment="1">
      <alignment horizontal="center"/>
    </xf>
    <xf numFmtId="0" fontId="11" fillId="0" borderId="0" xfId="0" applyFont="1" applyAlignment="1">
      <alignment horizontal="left" vertical="top"/>
    </xf>
    <xf numFmtId="10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14" fillId="0" borderId="0" xfId="0" applyFont="1"/>
    <xf numFmtId="0" fontId="14" fillId="0" borderId="0" xfId="0" applyFont="1" applyAlignment="1">
      <alignment horizontal="center"/>
    </xf>
    <xf numFmtId="49" fontId="16" fillId="0" borderId="0" xfId="0" applyNumberFormat="1" applyFont="1" applyAlignment="1">
      <alignment vertical="top" wrapText="1"/>
    </xf>
    <xf numFmtId="49" fontId="16" fillId="0" borderId="0" xfId="0" applyNumberFormat="1" applyFont="1" applyAlignment="1">
      <alignment horizontal="center" vertical="top"/>
    </xf>
    <xf numFmtId="49" fontId="16" fillId="0" borderId="0" xfId="0" applyNumberFormat="1" applyFont="1" applyAlignment="1">
      <alignment horizontal="center" vertical="top" wrapText="1"/>
    </xf>
    <xf numFmtId="0" fontId="16" fillId="0" borderId="0" xfId="0" applyFont="1" applyAlignment="1">
      <alignment vertical="top" wrapText="1"/>
    </xf>
    <xf numFmtId="0" fontId="16" fillId="0" borderId="0" xfId="0" applyFont="1"/>
    <xf numFmtId="0" fontId="15" fillId="0" borderId="0" xfId="0" applyFont="1" applyAlignment="1">
      <alignment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/>
    </xf>
    <xf numFmtId="0" fontId="15" fillId="0" borderId="0" xfId="0" applyFont="1"/>
    <xf numFmtId="0" fontId="11" fillId="0" borderId="0" xfId="0" applyFont="1" applyAlignment="1">
      <alignment horizontal="right"/>
    </xf>
    <xf numFmtId="49" fontId="16" fillId="0" borderId="0" xfId="0" applyNumberFormat="1" applyFont="1" applyAlignment="1">
      <alignment horizontal="left" vertical="top"/>
    </xf>
    <xf numFmtId="0" fontId="16" fillId="0" borderId="0" xfId="0" applyFont="1" applyAlignment="1">
      <alignment horizontal="left"/>
    </xf>
    <xf numFmtId="0" fontId="16" fillId="2" borderId="0" xfId="0" applyFont="1" applyFill="1"/>
    <xf numFmtId="0" fontId="16" fillId="2" borderId="0" xfId="0" applyFont="1" applyFill="1" applyAlignment="1">
      <alignment horizontal="center"/>
    </xf>
    <xf numFmtId="0" fontId="21" fillId="2" borderId="0" xfId="0" applyFont="1" applyFill="1"/>
    <xf numFmtId="0" fontId="21" fillId="2" borderId="0" xfId="0" applyFont="1" applyFill="1" applyAlignment="1">
      <alignment horizontal="center"/>
    </xf>
    <xf numFmtId="0" fontId="21" fillId="0" borderId="0" xfId="0" applyFont="1"/>
    <xf numFmtId="0" fontId="17" fillId="2" borderId="0" xfId="0" applyFont="1" applyFill="1"/>
    <xf numFmtId="0" fontId="17" fillId="2" borderId="0" xfId="0" applyFont="1" applyFill="1" applyAlignment="1">
      <alignment horizontal="right"/>
    </xf>
    <xf numFmtId="0" fontId="17" fillId="2" borderId="0" xfId="0" applyFont="1" applyFill="1" applyAlignment="1">
      <alignment horizontal="center"/>
    </xf>
    <xf numFmtId="2" fontId="17" fillId="2" borderId="0" xfId="0" applyNumberFormat="1" applyFont="1" applyFill="1"/>
    <xf numFmtId="10" fontId="17" fillId="2" borderId="0" xfId="0" applyNumberFormat="1" applyFont="1" applyFill="1" applyAlignment="1">
      <alignment horizontal="center"/>
    </xf>
    <xf numFmtId="0" fontId="17" fillId="0" borderId="0" xfId="0" applyFont="1"/>
    <xf numFmtId="2" fontId="16" fillId="2" borderId="0" xfId="0" applyNumberFormat="1" applyFont="1" applyFill="1" applyAlignment="1">
      <alignment horizontal="center" readingOrder="1"/>
    </xf>
    <xf numFmtId="10" fontId="16" fillId="2" borderId="0" xfId="0" applyNumberFormat="1" applyFont="1" applyFill="1" applyAlignment="1">
      <alignment horizontal="center"/>
    </xf>
    <xf numFmtId="2" fontId="16" fillId="2" borderId="0" xfId="0" applyNumberFormat="1" applyFont="1" applyFill="1" applyAlignment="1">
      <alignment horizontal="center"/>
    </xf>
    <xf numFmtId="2" fontId="16" fillId="0" borderId="0" xfId="0" applyNumberFormat="1" applyFont="1"/>
    <xf numFmtId="2" fontId="17" fillId="2" borderId="0" xfId="0" applyNumberFormat="1" applyFont="1" applyFill="1" applyAlignment="1">
      <alignment horizontal="center"/>
    </xf>
    <xf numFmtId="164" fontId="16" fillId="0" borderId="0" xfId="0" applyNumberFormat="1" applyFont="1" applyAlignment="1">
      <alignment horizontal="center"/>
    </xf>
    <xf numFmtId="0" fontId="22" fillId="0" borderId="0" xfId="0" applyFont="1"/>
    <xf numFmtId="0" fontId="23" fillId="0" borderId="0" xfId="0" applyFont="1"/>
    <xf numFmtId="0" fontId="24" fillId="0" borderId="0" xfId="0" applyFont="1"/>
    <xf numFmtId="0" fontId="22" fillId="0" borderId="29" xfId="0" applyFont="1" applyBorder="1" applyAlignment="1">
      <alignment horizontal="right"/>
    </xf>
    <xf numFmtId="0" fontId="22" fillId="0" borderId="7" xfId="0" applyFont="1" applyBorder="1" applyAlignment="1">
      <alignment horizontal="center"/>
    </xf>
    <xf numFmtId="2" fontId="22" fillId="0" borderId="30" xfId="0" applyNumberFormat="1" applyFont="1" applyBorder="1" applyAlignment="1">
      <alignment horizontal="right"/>
    </xf>
    <xf numFmtId="0" fontId="22" fillId="0" borderId="30" xfId="0" applyFont="1" applyBorder="1" applyAlignment="1">
      <alignment horizontal="right"/>
    </xf>
    <xf numFmtId="9" fontId="16" fillId="0" borderId="0" xfId="0" applyNumberFormat="1" applyFont="1" applyAlignment="1">
      <alignment horizontal="center"/>
    </xf>
    <xf numFmtId="0" fontId="16" fillId="0" borderId="0" xfId="0" quotePrefix="1" applyFont="1"/>
    <xf numFmtId="165" fontId="16" fillId="0" borderId="0" xfId="0" applyNumberFormat="1" applyFont="1" applyAlignment="1">
      <alignment horizontal="right"/>
    </xf>
    <xf numFmtId="49" fontId="22" fillId="0" borderId="0" xfId="0" applyNumberFormat="1" applyFont="1" applyAlignment="1">
      <alignment horizontal="left" vertical="top"/>
    </xf>
    <xf numFmtId="2" fontId="16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2" fontId="16" fillId="0" borderId="0" xfId="0" applyNumberFormat="1" applyFont="1" applyAlignment="1">
      <alignment horizontal="left"/>
    </xf>
    <xf numFmtId="0" fontId="11" fillId="0" borderId="0" xfId="0" applyFont="1" applyAlignment="1">
      <alignment vertical="top" wrapText="1"/>
    </xf>
    <xf numFmtId="0" fontId="11" fillId="0" borderId="0" xfId="0" applyFont="1" applyAlignment="1">
      <alignment vertical="top"/>
    </xf>
    <xf numFmtId="0" fontId="22" fillId="0" borderId="77" xfId="0" applyFont="1" applyBorder="1" applyAlignment="1">
      <alignment horizontal="center"/>
    </xf>
    <xf numFmtId="0" fontId="22" fillId="0" borderId="78" xfId="0" applyFont="1" applyBorder="1" applyAlignment="1">
      <alignment horizontal="center"/>
    </xf>
    <xf numFmtId="2" fontId="15" fillId="0" borderId="0" xfId="0" applyNumberFormat="1" applyFont="1"/>
    <xf numFmtId="0" fontId="26" fillId="0" borderId="0" xfId="0" applyFont="1"/>
    <xf numFmtId="0" fontId="25" fillId="0" borderId="2" xfId="0" applyFont="1" applyBorder="1"/>
    <xf numFmtId="0" fontId="24" fillId="0" borderId="2" xfId="0" applyFont="1" applyBorder="1"/>
    <xf numFmtId="0" fontId="16" fillId="0" borderId="0" xfId="0" applyFont="1" applyAlignment="1">
      <alignment horizontal="right"/>
    </xf>
    <xf numFmtId="0" fontId="12" fillId="0" borderId="0" xfId="9"/>
    <xf numFmtId="49" fontId="16" fillId="5" borderId="0" xfId="0" applyNumberFormat="1" applyFont="1" applyFill="1" applyAlignment="1">
      <alignment horizontal="center" vertical="top"/>
    </xf>
    <xf numFmtId="0" fontId="20" fillId="0" borderId="0" xfId="0" applyFont="1"/>
    <xf numFmtId="0" fontId="16" fillId="0" borderId="0" xfId="0" applyFont="1" applyAlignment="1">
      <alignment horizontal="left" vertical="top"/>
    </xf>
    <xf numFmtId="0" fontId="29" fillId="0" borderId="0" xfId="0" applyFont="1"/>
    <xf numFmtId="2" fontId="30" fillId="0" borderId="0" xfId="0" applyNumberFormat="1" applyFont="1" applyAlignment="1">
      <alignment horizontal="center" vertical="center"/>
    </xf>
    <xf numFmtId="2" fontId="31" fillId="0" borderId="0" xfId="0" applyNumberFormat="1" applyFont="1" applyAlignment="1">
      <alignment horizontal="left" vertical="center"/>
    </xf>
    <xf numFmtId="49" fontId="31" fillId="0" borderId="0" xfId="0" applyNumberFormat="1" applyFont="1" applyAlignment="1">
      <alignment horizontal="left" vertical="center"/>
    </xf>
    <xf numFmtId="1" fontId="16" fillId="6" borderId="0" xfId="0" applyNumberFormat="1" applyFont="1" applyFill="1" applyAlignment="1">
      <alignment horizontal="left" vertical="center"/>
    </xf>
    <xf numFmtId="49" fontId="16" fillId="0" borderId="0" xfId="0" applyNumberFormat="1" applyFont="1" applyAlignment="1">
      <alignment vertical="center" wrapText="1"/>
    </xf>
    <xf numFmtId="49" fontId="16" fillId="0" borderId="0" xfId="0" applyNumberFormat="1" applyFont="1" applyAlignment="1">
      <alignment horizontal="left" vertical="center" wrapText="1"/>
    </xf>
    <xf numFmtId="1" fontId="16" fillId="0" borderId="0" xfId="0" applyNumberFormat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 wrapText="1"/>
    </xf>
    <xf numFmtId="2" fontId="16" fillId="0" borderId="0" xfId="0" applyNumberFormat="1" applyFont="1" applyAlignment="1">
      <alignment vertical="center" wrapText="1"/>
    </xf>
    <xf numFmtId="2" fontId="18" fillId="0" borderId="0" xfId="0" applyNumberFormat="1" applyFont="1" applyAlignment="1">
      <alignment vertical="center" wrapText="1"/>
    </xf>
    <xf numFmtId="49" fontId="15" fillId="0" borderId="7" xfId="0" applyNumberFormat="1" applyFont="1" applyBorder="1" applyAlignment="1">
      <alignment vertical="center" wrapText="1"/>
    </xf>
    <xf numFmtId="49" fontId="15" fillId="0" borderId="7" xfId="0" applyNumberFormat="1" applyFont="1" applyBorder="1" applyAlignment="1">
      <alignment horizontal="left" vertical="center" wrapText="1"/>
    </xf>
    <xf numFmtId="1" fontId="19" fillId="3" borderId="7" xfId="0" applyNumberFormat="1" applyFont="1" applyFill="1" applyBorder="1" applyAlignment="1">
      <alignment horizontal="center" vertical="center" wrapText="1"/>
    </xf>
    <xf numFmtId="1" fontId="15" fillId="0" borderId="87" xfId="0" applyNumberFormat="1" applyFont="1" applyBorder="1" applyAlignment="1">
      <alignment horizontal="center" vertical="center" wrapText="1"/>
    </xf>
    <xf numFmtId="1" fontId="19" fillId="0" borderId="87" xfId="0" applyNumberFormat="1" applyFont="1" applyBorder="1" applyAlignment="1">
      <alignment horizontal="center" vertical="center" wrapText="1"/>
    </xf>
    <xf numFmtId="2" fontId="15" fillId="0" borderId="43" xfId="0" applyNumberFormat="1" applyFont="1" applyBorder="1" applyAlignment="1">
      <alignment horizontal="center" vertical="center" wrapText="1"/>
    </xf>
    <xf numFmtId="2" fontId="15" fillId="0" borderId="44" xfId="0" applyNumberFormat="1" applyFont="1" applyBorder="1" applyAlignment="1">
      <alignment horizontal="center" vertical="center" wrapText="1"/>
    </xf>
    <xf numFmtId="2" fontId="19" fillId="3" borderId="31" xfId="0" applyNumberFormat="1" applyFont="1" applyFill="1" applyBorder="1" applyAlignment="1">
      <alignment horizontal="center" vertical="center" wrapText="1"/>
    </xf>
    <xf numFmtId="2" fontId="19" fillId="3" borderId="8" xfId="0" applyNumberFormat="1" applyFont="1" applyFill="1" applyBorder="1" applyAlignment="1">
      <alignment horizontal="center" vertical="center" wrapText="1"/>
    </xf>
    <xf numFmtId="2" fontId="15" fillId="0" borderId="0" xfId="0" applyNumberFormat="1" applyFont="1" applyAlignment="1">
      <alignment vertical="center" wrapText="1"/>
    </xf>
    <xf numFmtId="49" fontId="15" fillId="0" borderId="0" xfId="0" applyNumberFormat="1" applyFont="1" applyAlignment="1">
      <alignment vertical="center" wrapText="1"/>
    </xf>
    <xf numFmtId="2" fontId="19" fillId="3" borderId="79" xfId="0" applyNumberFormat="1" applyFont="1" applyFill="1" applyBorder="1" applyAlignment="1">
      <alignment horizontal="left" vertical="center"/>
    </xf>
    <xf numFmtId="2" fontId="19" fillId="3" borderId="79" xfId="0" applyNumberFormat="1" applyFont="1" applyFill="1" applyBorder="1" applyAlignment="1">
      <alignment horizontal="left" vertical="center" wrapText="1"/>
    </xf>
    <xf numFmtId="1" fontId="15" fillId="0" borderId="0" xfId="0" applyNumberFormat="1" applyFont="1" applyAlignment="1">
      <alignment vertical="center" wrapText="1"/>
    </xf>
    <xf numFmtId="1" fontId="18" fillId="0" borderId="0" xfId="0" applyNumberFormat="1" applyFont="1" applyAlignment="1">
      <alignment horizontal="center" vertical="center" wrapText="1"/>
    </xf>
    <xf numFmtId="2" fontId="19" fillId="3" borderId="24" xfId="0" applyNumberFormat="1" applyFont="1" applyFill="1" applyBorder="1" applyAlignment="1">
      <alignment horizontal="center" vertical="center" wrapText="1"/>
    </xf>
    <xf numFmtId="2" fontId="19" fillId="3" borderId="24" xfId="0" applyNumberFormat="1" applyFont="1" applyFill="1" applyBorder="1" applyAlignment="1">
      <alignment horizontal="left" vertical="center" wrapText="1"/>
    </xf>
    <xf numFmtId="49" fontId="16" fillId="0" borderId="6" xfId="0" applyNumberFormat="1" applyFont="1" applyBorder="1" applyAlignment="1">
      <alignment vertical="center" wrapText="1"/>
    </xf>
    <xf numFmtId="49" fontId="16" fillId="0" borderId="32" xfId="0" applyNumberFormat="1" applyFont="1" applyBorder="1" applyAlignment="1">
      <alignment horizontal="left" vertical="center" wrapText="1"/>
    </xf>
    <xf numFmtId="49" fontId="16" fillId="0" borderId="0" xfId="0" applyNumberFormat="1" applyFont="1" applyAlignment="1">
      <alignment horizontal="right" vertical="center" wrapText="1"/>
    </xf>
    <xf numFmtId="49" fontId="16" fillId="0" borderId="34" xfId="0" applyNumberFormat="1" applyFont="1" applyBorder="1" applyAlignment="1">
      <alignment horizontal="left" vertical="center" wrapText="1"/>
    </xf>
    <xf numFmtId="49" fontId="16" fillId="0" borderId="36" xfId="0" applyNumberFormat="1" applyFont="1" applyBorder="1" applyAlignment="1">
      <alignment horizontal="left" vertical="center" wrapText="1"/>
    </xf>
    <xf numFmtId="49" fontId="16" fillId="0" borderId="2" xfId="0" applyNumberFormat="1" applyFont="1" applyBorder="1" applyAlignment="1">
      <alignment vertical="center" wrapText="1"/>
    </xf>
    <xf numFmtId="49" fontId="16" fillId="0" borderId="6" xfId="0" applyNumberFormat="1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right" vertical="center" wrapText="1"/>
    </xf>
    <xf numFmtId="49" fontId="16" fillId="0" borderId="6" xfId="0" applyNumberFormat="1" applyFont="1" applyBorder="1" applyAlignment="1">
      <alignment horizontal="right" vertical="center" wrapText="1"/>
    </xf>
    <xf numFmtId="49" fontId="16" fillId="0" borderId="7" xfId="0" applyNumberFormat="1" applyFont="1" applyBorder="1" applyAlignment="1">
      <alignment horizontal="right" vertical="center" wrapText="1"/>
    </xf>
    <xf numFmtId="49" fontId="16" fillId="0" borderId="71" xfId="0" applyNumberFormat="1" applyFont="1" applyBorder="1" applyAlignment="1">
      <alignment horizontal="left" vertical="center" wrapText="1"/>
    </xf>
    <xf numFmtId="2" fontId="19" fillId="3" borderId="0" xfId="0" applyNumberFormat="1" applyFont="1" applyFill="1" applyAlignment="1">
      <alignment horizontal="center" vertical="center" wrapText="1"/>
    </xf>
    <xf numFmtId="2" fontId="19" fillId="3" borderId="0" xfId="0" applyNumberFormat="1" applyFont="1" applyFill="1" applyAlignment="1">
      <alignment horizontal="left" vertical="center" wrapText="1"/>
    </xf>
    <xf numFmtId="1" fontId="16" fillId="0" borderId="38" xfId="0" applyNumberFormat="1" applyFont="1" applyBorder="1" applyAlignment="1">
      <alignment horizontal="left" vertical="center" wrapText="1"/>
    </xf>
    <xf numFmtId="49" fontId="17" fillId="0" borderId="0" xfId="0" applyNumberFormat="1" applyFont="1" applyAlignment="1">
      <alignment horizontal="right" vertical="center" wrapText="1"/>
    </xf>
    <xf numFmtId="49" fontId="16" fillId="0" borderId="85" xfId="0" applyNumberFormat="1" applyFont="1" applyBorder="1" applyAlignment="1">
      <alignment horizontal="left" vertical="center" wrapText="1"/>
    </xf>
    <xf numFmtId="49" fontId="16" fillId="0" borderId="27" xfId="0" applyNumberFormat="1" applyFont="1" applyBorder="1" applyAlignment="1">
      <alignment horizontal="left" vertical="center" wrapText="1"/>
    </xf>
    <xf numFmtId="49" fontId="16" fillId="0" borderId="54" xfId="0" applyNumberFormat="1" applyFont="1" applyBorder="1" applyAlignment="1">
      <alignment horizontal="left" vertical="center" wrapText="1"/>
    </xf>
    <xf numFmtId="49" fontId="16" fillId="0" borderId="38" xfId="0" applyNumberFormat="1" applyFont="1" applyBorder="1" applyAlignment="1">
      <alignment horizontal="left" vertical="center" wrapText="1"/>
    </xf>
    <xf numFmtId="49" fontId="16" fillId="0" borderId="28" xfId="0" applyNumberFormat="1" applyFont="1" applyBorder="1" applyAlignment="1">
      <alignment horizontal="left" vertical="center" wrapText="1"/>
    </xf>
    <xf numFmtId="49" fontId="16" fillId="0" borderId="7" xfId="0" applyNumberFormat="1" applyFont="1" applyBorder="1" applyAlignment="1">
      <alignment vertical="center" wrapText="1"/>
    </xf>
    <xf numFmtId="49" fontId="16" fillId="0" borderId="82" xfId="0" applyNumberFormat="1" applyFont="1" applyBorder="1" applyAlignment="1">
      <alignment horizontal="left" vertical="center" wrapText="1"/>
    </xf>
    <xf numFmtId="49" fontId="18" fillId="0" borderId="0" xfId="0" applyNumberFormat="1" applyFont="1" applyAlignment="1">
      <alignment horizontal="center" vertical="center" wrapText="1"/>
    </xf>
    <xf numFmtId="1" fontId="16" fillId="0" borderId="34" xfId="0" applyNumberFormat="1" applyFont="1" applyBorder="1" applyAlignment="1">
      <alignment horizontal="left" vertical="center" wrapText="1"/>
    </xf>
    <xf numFmtId="1" fontId="16" fillId="0" borderId="0" xfId="0" applyNumberFormat="1" applyFont="1" applyAlignment="1">
      <alignment vertical="top"/>
    </xf>
    <xf numFmtId="1" fontId="16" fillId="0" borderId="0" xfId="0" applyNumberFormat="1" applyFont="1" applyAlignment="1">
      <alignment horizontal="left" vertical="top"/>
    </xf>
    <xf numFmtId="49" fontId="16" fillId="0" borderId="0" xfId="0" applyNumberFormat="1" applyFont="1" applyAlignment="1">
      <alignment vertical="top"/>
    </xf>
    <xf numFmtId="4" fontId="19" fillId="3" borderId="80" xfId="0" applyNumberFormat="1" applyFont="1" applyFill="1" applyBorder="1" applyAlignment="1">
      <alignment horizontal="center" vertical="center" wrapText="1"/>
    </xf>
    <xf numFmtId="4" fontId="19" fillId="3" borderId="81" xfId="0" applyNumberFormat="1" applyFont="1" applyFill="1" applyBorder="1" applyAlignment="1">
      <alignment horizontal="center" vertical="center" wrapText="1"/>
    </xf>
    <xf numFmtId="4" fontId="18" fillId="0" borderId="0" xfId="0" applyNumberFormat="1" applyFont="1" applyAlignment="1">
      <alignment horizontal="center" vertical="center" wrapText="1"/>
    </xf>
    <xf numFmtId="4" fontId="16" fillId="0" borderId="0" xfId="0" applyNumberFormat="1" applyFont="1" applyAlignment="1">
      <alignment horizontal="center" vertical="center" wrapText="1"/>
    </xf>
    <xf numFmtId="4" fontId="19" fillId="3" borderId="19" xfId="0" applyNumberFormat="1" applyFont="1" applyFill="1" applyBorder="1" applyAlignment="1">
      <alignment horizontal="center" vertical="center" wrapText="1"/>
    </xf>
    <xf numFmtId="4" fontId="19" fillId="3" borderId="18" xfId="0" applyNumberFormat="1" applyFont="1" applyFill="1" applyBorder="1" applyAlignment="1">
      <alignment horizontal="center" vertical="center" wrapText="1"/>
    </xf>
    <xf numFmtId="4" fontId="19" fillId="3" borderId="25" xfId="0" applyNumberFormat="1" applyFont="1" applyFill="1" applyBorder="1" applyAlignment="1">
      <alignment horizontal="center" vertical="center" wrapText="1"/>
    </xf>
    <xf numFmtId="4" fontId="16" fillId="4" borderId="45" xfId="0" applyNumberFormat="1" applyFont="1" applyFill="1" applyBorder="1" applyAlignment="1">
      <alignment horizontal="center" vertical="center" wrapText="1"/>
    </xf>
    <xf numFmtId="4" fontId="16" fillId="4" borderId="21" xfId="0" applyNumberFormat="1" applyFont="1" applyFill="1" applyBorder="1" applyAlignment="1">
      <alignment horizontal="center" vertical="center" wrapText="1"/>
    </xf>
    <xf numFmtId="4" fontId="16" fillId="4" borderId="33" xfId="0" applyNumberFormat="1" applyFont="1" applyFill="1" applyBorder="1" applyAlignment="1">
      <alignment horizontal="center" vertical="center" wrapText="1"/>
    </xf>
    <xf numFmtId="4" fontId="18" fillId="3" borderId="20" xfId="0" applyNumberFormat="1" applyFont="1" applyFill="1" applyBorder="1" applyAlignment="1">
      <alignment horizontal="center" vertical="center" wrapText="1"/>
    </xf>
    <xf numFmtId="4" fontId="18" fillId="3" borderId="21" xfId="0" applyNumberFormat="1" applyFont="1" applyFill="1" applyBorder="1" applyAlignment="1">
      <alignment horizontal="center" vertical="center" wrapText="1"/>
    </xf>
    <xf numFmtId="4" fontId="16" fillId="4" borderId="46" xfId="0" applyNumberFormat="1" applyFont="1" applyFill="1" applyBorder="1" applyAlignment="1">
      <alignment horizontal="center" vertical="center" wrapText="1"/>
    </xf>
    <xf numFmtId="4" fontId="16" fillId="4" borderId="13" xfId="0" applyNumberFormat="1" applyFont="1" applyFill="1" applyBorder="1" applyAlignment="1">
      <alignment horizontal="center" vertical="center" wrapText="1"/>
    </xf>
    <xf numFmtId="4" fontId="18" fillId="3" borderId="14" xfId="0" applyNumberFormat="1" applyFont="1" applyFill="1" applyBorder="1" applyAlignment="1">
      <alignment horizontal="center" vertical="center" wrapText="1"/>
    </xf>
    <xf numFmtId="4" fontId="18" fillId="3" borderId="13" xfId="0" applyNumberFormat="1" applyFont="1" applyFill="1" applyBorder="1" applyAlignment="1">
      <alignment horizontal="center" vertical="center" wrapText="1"/>
    </xf>
    <xf numFmtId="4" fontId="16" fillId="4" borderId="35" xfId="0" applyNumberFormat="1" applyFont="1" applyFill="1" applyBorder="1" applyAlignment="1">
      <alignment horizontal="center" vertical="center" wrapText="1"/>
    </xf>
    <xf numFmtId="4" fontId="16" fillId="4" borderId="47" xfId="0" applyNumberFormat="1" applyFont="1" applyFill="1" applyBorder="1" applyAlignment="1">
      <alignment horizontal="center" vertical="center" wrapText="1"/>
    </xf>
    <xf numFmtId="4" fontId="16" fillId="4" borderId="26" xfId="0" applyNumberFormat="1" applyFont="1" applyFill="1" applyBorder="1" applyAlignment="1">
      <alignment horizontal="center" vertical="center" wrapText="1"/>
    </xf>
    <xf numFmtId="4" fontId="16" fillId="4" borderId="37" xfId="0" applyNumberFormat="1" applyFont="1" applyFill="1" applyBorder="1" applyAlignment="1">
      <alignment horizontal="center" vertical="center" wrapText="1"/>
    </xf>
    <xf numFmtId="4" fontId="16" fillId="4" borderId="56" xfId="0" applyNumberFormat="1" applyFont="1" applyFill="1" applyBorder="1" applyAlignment="1">
      <alignment horizontal="center" vertical="center" wrapText="1"/>
    </xf>
    <xf numFmtId="4" fontId="16" fillId="4" borderId="57" xfId="0" applyNumberFormat="1" applyFont="1" applyFill="1" applyBorder="1" applyAlignment="1">
      <alignment horizontal="center" vertical="center" wrapText="1"/>
    </xf>
    <xf numFmtId="4" fontId="16" fillId="4" borderId="58" xfId="0" applyNumberFormat="1" applyFont="1" applyFill="1" applyBorder="1" applyAlignment="1">
      <alignment horizontal="center" vertical="center" wrapText="1"/>
    </xf>
    <xf numFmtId="4" fontId="18" fillId="3" borderId="55" xfId="0" applyNumberFormat="1" applyFont="1" applyFill="1" applyBorder="1" applyAlignment="1">
      <alignment horizontal="center" vertical="center" wrapText="1"/>
    </xf>
    <xf numFmtId="4" fontId="18" fillId="3" borderId="57" xfId="0" applyNumberFormat="1" applyFont="1" applyFill="1" applyBorder="1" applyAlignment="1">
      <alignment horizontal="center" vertical="center" wrapText="1"/>
    </xf>
    <xf numFmtId="4" fontId="18" fillId="3" borderId="49" xfId="0" applyNumberFormat="1" applyFont="1" applyFill="1" applyBorder="1" applyAlignment="1">
      <alignment horizontal="center" vertical="center" wrapText="1"/>
    </xf>
    <xf numFmtId="4" fontId="18" fillId="3" borderId="23" xfId="0" applyNumberFormat="1" applyFont="1" applyFill="1" applyBorder="1" applyAlignment="1">
      <alignment horizontal="center" vertical="center" wrapText="1"/>
    </xf>
    <xf numFmtId="4" fontId="18" fillId="3" borderId="102" xfId="0" applyNumberFormat="1" applyFont="1" applyFill="1" applyBorder="1" applyAlignment="1">
      <alignment horizontal="center" vertical="center" wrapText="1"/>
    </xf>
    <xf numFmtId="4" fontId="18" fillId="3" borderId="26" xfId="0" applyNumberFormat="1" applyFont="1" applyFill="1" applyBorder="1" applyAlignment="1">
      <alignment horizontal="center" vertical="center" wrapText="1"/>
    </xf>
    <xf numFmtId="4" fontId="16" fillId="4" borderId="59" xfId="0" applyNumberFormat="1" applyFont="1" applyFill="1" applyBorder="1" applyAlignment="1">
      <alignment horizontal="center" vertical="center" wrapText="1"/>
    </xf>
    <xf numFmtId="4" fontId="16" fillId="4" borderId="60" xfId="0" applyNumberFormat="1" applyFont="1" applyFill="1" applyBorder="1" applyAlignment="1">
      <alignment horizontal="center" vertical="center" wrapText="1"/>
    </xf>
    <xf numFmtId="4" fontId="18" fillId="3" borderId="61" xfId="0" applyNumberFormat="1" applyFont="1" applyFill="1" applyBorder="1" applyAlignment="1">
      <alignment horizontal="center" vertical="center" wrapText="1"/>
    </xf>
    <xf numFmtId="4" fontId="18" fillId="3" borderId="60" xfId="0" applyNumberFormat="1" applyFont="1" applyFill="1" applyBorder="1" applyAlignment="1">
      <alignment horizontal="center" vertical="center" wrapText="1"/>
    </xf>
    <xf numFmtId="4" fontId="16" fillId="4" borderId="86" xfId="0" applyNumberFormat="1" applyFont="1" applyFill="1" applyBorder="1" applyAlignment="1">
      <alignment horizontal="center" vertical="center" wrapText="1"/>
    </xf>
    <xf numFmtId="4" fontId="18" fillId="3" borderId="59" xfId="0" applyNumberFormat="1" applyFont="1" applyFill="1" applyBorder="1" applyAlignment="1">
      <alignment horizontal="center" vertical="center" wrapText="1"/>
    </xf>
    <xf numFmtId="4" fontId="16" fillId="4" borderId="49" xfId="0" applyNumberFormat="1" applyFont="1" applyFill="1" applyBorder="1" applyAlignment="1">
      <alignment horizontal="center" vertical="center" wrapText="1"/>
    </xf>
    <xf numFmtId="4" fontId="16" fillId="4" borderId="23" xfId="0" applyNumberFormat="1" applyFont="1" applyFill="1" applyBorder="1" applyAlignment="1">
      <alignment horizontal="center" vertical="center" wrapText="1"/>
    </xf>
    <xf numFmtId="4" fontId="16" fillId="4" borderId="39" xfId="0" applyNumberFormat="1" applyFont="1" applyFill="1" applyBorder="1" applyAlignment="1">
      <alignment horizontal="center" vertical="center" wrapText="1"/>
    </xf>
    <xf numFmtId="4" fontId="18" fillId="3" borderId="22" xfId="0" applyNumberFormat="1" applyFont="1" applyFill="1" applyBorder="1" applyAlignment="1">
      <alignment horizontal="center" vertical="center" wrapText="1"/>
    </xf>
    <xf numFmtId="4" fontId="16" fillId="4" borderId="72" xfId="0" applyNumberFormat="1" applyFont="1" applyFill="1" applyBorder="1" applyAlignment="1">
      <alignment horizontal="center" vertical="center" wrapText="1"/>
    </xf>
    <xf numFmtId="4" fontId="16" fillId="4" borderId="73" xfId="0" applyNumberFormat="1" applyFont="1" applyFill="1" applyBorder="1" applyAlignment="1">
      <alignment horizontal="center" vertical="center" wrapText="1"/>
    </xf>
    <xf numFmtId="4" fontId="18" fillId="3" borderId="74" xfId="0" applyNumberFormat="1" applyFont="1" applyFill="1" applyBorder="1" applyAlignment="1">
      <alignment horizontal="center" vertical="center" wrapText="1"/>
    </xf>
    <xf numFmtId="4" fontId="18" fillId="3" borderId="75" xfId="0" applyNumberFormat="1" applyFont="1" applyFill="1" applyBorder="1" applyAlignment="1">
      <alignment horizontal="center" vertical="center" wrapText="1"/>
    </xf>
    <xf numFmtId="4" fontId="16" fillId="4" borderId="76" xfId="0" applyNumberFormat="1" applyFont="1" applyFill="1" applyBorder="1" applyAlignment="1">
      <alignment horizontal="center" vertical="center" wrapText="1"/>
    </xf>
    <xf numFmtId="4" fontId="18" fillId="3" borderId="72" xfId="0" applyNumberFormat="1" applyFont="1" applyFill="1" applyBorder="1" applyAlignment="1">
      <alignment horizontal="center" vertical="center" wrapText="1"/>
    </xf>
    <xf numFmtId="4" fontId="18" fillId="3" borderId="73" xfId="0" applyNumberFormat="1" applyFont="1" applyFill="1" applyBorder="1" applyAlignment="1">
      <alignment horizontal="center" vertical="center" wrapText="1"/>
    </xf>
    <xf numFmtId="4" fontId="19" fillId="3" borderId="9" xfId="0" applyNumberFormat="1" applyFont="1" applyFill="1" applyBorder="1" applyAlignment="1">
      <alignment horizontal="center" vertical="center" wrapText="1"/>
    </xf>
    <xf numFmtId="4" fontId="19" fillId="3" borderId="11" xfId="0" applyNumberFormat="1" applyFont="1" applyFill="1" applyBorder="1" applyAlignment="1">
      <alignment horizontal="center" vertical="center" wrapText="1"/>
    </xf>
    <xf numFmtId="4" fontId="19" fillId="3" borderId="12" xfId="0" applyNumberFormat="1" applyFont="1" applyFill="1" applyBorder="1" applyAlignment="1">
      <alignment horizontal="center" vertical="center" wrapText="1"/>
    </xf>
    <xf numFmtId="4" fontId="19" fillId="3" borderId="10" xfId="0" applyNumberFormat="1" applyFont="1" applyFill="1" applyBorder="1" applyAlignment="1">
      <alignment horizontal="center" vertical="center" wrapText="1"/>
    </xf>
    <xf numFmtId="4" fontId="16" fillId="4" borderId="20" xfId="0" applyNumberFormat="1" applyFont="1" applyFill="1" applyBorder="1" applyAlignment="1">
      <alignment horizontal="center" vertical="center" wrapText="1"/>
    </xf>
    <xf numFmtId="4" fontId="16" fillId="4" borderId="48" xfId="0" applyNumberFormat="1" applyFont="1" applyFill="1" applyBorder="1" applyAlignment="1">
      <alignment horizontal="center" vertical="center" wrapText="1"/>
    </xf>
    <xf numFmtId="4" fontId="16" fillId="4" borderId="40" xfId="0" applyNumberFormat="1" applyFont="1" applyFill="1" applyBorder="1" applyAlignment="1">
      <alignment horizontal="center" vertical="center" wrapText="1"/>
    </xf>
    <xf numFmtId="4" fontId="16" fillId="4" borderId="42" xfId="0" applyNumberFormat="1" applyFont="1" applyFill="1" applyBorder="1" applyAlignment="1">
      <alignment horizontal="center" vertical="center" wrapText="1"/>
    </xf>
    <xf numFmtId="4" fontId="18" fillId="3" borderId="41" xfId="0" applyNumberFormat="1" applyFont="1" applyFill="1" applyBorder="1" applyAlignment="1">
      <alignment horizontal="center" vertical="center" wrapText="1"/>
    </xf>
    <xf numFmtId="4" fontId="18" fillId="3" borderId="40" xfId="0" applyNumberFormat="1" applyFont="1" applyFill="1" applyBorder="1" applyAlignment="1">
      <alignment horizontal="center" vertical="center" wrapText="1"/>
    </xf>
    <xf numFmtId="4" fontId="18" fillId="3" borderId="47" xfId="0" applyNumberFormat="1" applyFont="1" applyFill="1" applyBorder="1" applyAlignment="1">
      <alignment horizontal="center" vertical="center" wrapText="1"/>
    </xf>
    <xf numFmtId="4" fontId="19" fillId="3" borderId="40" xfId="0" applyNumberFormat="1" applyFont="1" applyFill="1" applyBorder="1" applyAlignment="1">
      <alignment horizontal="center" vertical="center" wrapText="1"/>
    </xf>
    <xf numFmtId="4" fontId="19" fillId="3" borderId="48" xfId="0" applyNumberFormat="1" applyFont="1" applyFill="1" applyBorder="1" applyAlignment="1">
      <alignment horizontal="center" vertical="center" wrapText="1"/>
    </xf>
    <xf numFmtId="4" fontId="16" fillId="4" borderId="52" xfId="0" applyNumberFormat="1" applyFont="1" applyFill="1" applyBorder="1" applyAlignment="1">
      <alignment horizontal="center" vertical="center" wrapText="1"/>
    </xf>
    <xf numFmtId="4" fontId="16" fillId="4" borderId="17" xfId="0" applyNumberFormat="1" applyFont="1" applyFill="1" applyBorder="1" applyAlignment="1">
      <alignment horizontal="center" vertical="center" wrapText="1"/>
    </xf>
    <xf numFmtId="4" fontId="18" fillId="3" borderId="16" xfId="0" applyNumberFormat="1" applyFont="1" applyFill="1" applyBorder="1" applyAlignment="1">
      <alignment horizontal="center" vertical="center" wrapText="1"/>
    </xf>
    <xf numFmtId="4" fontId="18" fillId="3" borderId="17" xfId="0" applyNumberFormat="1" applyFont="1" applyFill="1" applyBorder="1" applyAlignment="1">
      <alignment horizontal="center" vertical="center" wrapText="1"/>
    </xf>
    <xf numFmtId="4" fontId="16" fillId="4" borderId="53" xfId="0" applyNumberFormat="1" applyFont="1" applyFill="1" applyBorder="1" applyAlignment="1">
      <alignment horizontal="center" vertical="center" wrapText="1"/>
    </xf>
    <xf numFmtId="4" fontId="16" fillId="4" borderId="9" xfId="0" applyNumberFormat="1" applyFont="1" applyFill="1" applyBorder="1" applyAlignment="1">
      <alignment horizontal="center" vertical="center" wrapText="1"/>
    </xf>
    <xf numFmtId="4" fontId="16" fillId="4" borderId="11" xfId="0" applyNumberFormat="1" applyFont="1" applyFill="1" applyBorder="1" applyAlignment="1">
      <alignment horizontal="center" vertical="center" wrapText="1"/>
    </xf>
    <xf numFmtId="4" fontId="16" fillId="4" borderId="10" xfId="0" applyNumberFormat="1" applyFont="1" applyFill="1" applyBorder="1" applyAlignment="1">
      <alignment horizontal="center" vertical="center" wrapText="1"/>
    </xf>
    <xf numFmtId="4" fontId="16" fillId="4" borderId="50" xfId="0" applyNumberFormat="1" applyFont="1" applyFill="1" applyBorder="1" applyAlignment="1">
      <alignment horizontal="center" vertical="center" wrapText="1"/>
    </xf>
    <xf numFmtId="4" fontId="16" fillId="4" borderId="15" xfId="0" applyNumberFormat="1" applyFont="1" applyFill="1" applyBorder="1" applyAlignment="1">
      <alignment horizontal="center" vertical="center" wrapText="1"/>
    </xf>
    <xf numFmtId="4" fontId="16" fillId="4" borderId="51" xfId="0" applyNumberFormat="1" applyFont="1" applyFill="1" applyBorder="1" applyAlignment="1">
      <alignment horizontal="center" vertical="center" wrapText="1"/>
    </xf>
    <xf numFmtId="4" fontId="16" fillId="4" borderId="41" xfId="0" applyNumberFormat="1" applyFont="1" applyFill="1" applyBorder="1" applyAlignment="1">
      <alignment horizontal="center" vertical="center" wrapText="1"/>
    </xf>
    <xf numFmtId="4" fontId="16" fillId="4" borderId="83" xfId="0" applyNumberFormat="1" applyFont="1" applyFill="1" applyBorder="1" applyAlignment="1">
      <alignment horizontal="center" vertical="center" wrapText="1"/>
    </xf>
    <xf numFmtId="4" fontId="16" fillId="4" borderId="75" xfId="0" applyNumberFormat="1" applyFont="1" applyFill="1" applyBorder="1" applyAlignment="1">
      <alignment horizontal="center" vertical="center" wrapText="1"/>
    </xf>
    <xf numFmtId="4" fontId="16" fillId="4" borderId="74" xfId="0" applyNumberFormat="1" applyFont="1" applyFill="1" applyBorder="1" applyAlignment="1">
      <alignment horizontal="center" vertical="center" wrapText="1"/>
    </xf>
    <xf numFmtId="4" fontId="16" fillId="4" borderId="84" xfId="0" applyNumberFormat="1" applyFont="1" applyFill="1" applyBorder="1" applyAlignment="1">
      <alignment horizontal="center" vertical="center" wrapText="1"/>
    </xf>
    <xf numFmtId="3" fontId="19" fillId="3" borderId="79" xfId="0" applyNumberFormat="1" applyFont="1" applyFill="1" applyBorder="1" applyAlignment="1">
      <alignment horizontal="center" vertical="center" wrapText="1"/>
    </xf>
    <xf numFmtId="3" fontId="19" fillId="3" borderId="101" xfId="0" applyNumberFormat="1" applyFont="1" applyFill="1" applyBorder="1" applyAlignment="1">
      <alignment horizontal="center" vertical="center" wrapText="1"/>
    </xf>
    <xf numFmtId="3" fontId="18" fillId="0" borderId="0" xfId="0" applyNumberFormat="1" applyFont="1" applyAlignment="1">
      <alignment horizontal="center" vertical="center" wrapText="1"/>
    </xf>
    <xf numFmtId="3" fontId="16" fillId="0" borderId="0" xfId="0" applyNumberFormat="1" applyFont="1" applyAlignment="1">
      <alignment horizontal="center" vertical="center" wrapText="1"/>
    </xf>
    <xf numFmtId="3" fontId="19" fillId="3" borderId="24" xfId="0" applyNumberFormat="1" applyFont="1" applyFill="1" applyBorder="1" applyAlignment="1">
      <alignment horizontal="center" vertical="center" wrapText="1"/>
    </xf>
    <xf numFmtId="3" fontId="19" fillId="3" borderId="100" xfId="0" applyNumberFormat="1" applyFont="1" applyFill="1" applyBorder="1" applyAlignment="1">
      <alignment horizontal="center" vertical="center" wrapText="1"/>
    </xf>
    <xf numFmtId="3" fontId="18" fillId="3" borderId="32" xfId="0" applyNumberFormat="1" applyFont="1" applyFill="1" applyBorder="1" applyAlignment="1">
      <alignment horizontal="center" vertical="center" wrapText="1"/>
    </xf>
    <xf numFmtId="3" fontId="16" fillId="6" borderId="92" xfId="0" applyNumberFormat="1" applyFont="1" applyFill="1" applyBorder="1" applyAlignment="1">
      <alignment horizontal="center" vertical="center" wrapText="1"/>
    </xf>
    <xf numFmtId="3" fontId="16" fillId="0" borderId="92" xfId="0" applyNumberFormat="1" applyFont="1" applyBorder="1" applyAlignment="1">
      <alignment horizontal="center" vertical="center" wrapText="1"/>
    </xf>
    <xf numFmtId="3" fontId="18" fillId="3" borderId="92" xfId="0" applyNumberFormat="1" applyFont="1" applyFill="1" applyBorder="1" applyAlignment="1">
      <alignment horizontal="center" vertical="center" wrapText="1"/>
    </xf>
    <xf numFmtId="3" fontId="18" fillId="3" borderId="34" xfId="0" applyNumberFormat="1" applyFont="1" applyFill="1" applyBorder="1" applyAlignment="1">
      <alignment horizontal="center" vertical="center" wrapText="1"/>
    </xf>
    <xf numFmtId="3" fontId="16" fillId="6" borderId="93" xfId="0" applyNumberFormat="1" applyFont="1" applyFill="1" applyBorder="1" applyAlignment="1">
      <alignment horizontal="center" vertical="center" wrapText="1"/>
    </xf>
    <xf numFmtId="3" fontId="16" fillId="0" borderId="93" xfId="0" applyNumberFormat="1" applyFont="1" applyBorder="1" applyAlignment="1">
      <alignment horizontal="center" vertical="center" wrapText="1"/>
    </xf>
    <xf numFmtId="3" fontId="18" fillId="3" borderId="93" xfId="0" applyNumberFormat="1" applyFont="1" applyFill="1" applyBorder="1" applyAlignment="1">
      <alignment horizontal="center" vertical="center" wrapText="1"/>
    </xf>
    <xf numFmtId="3" fontId="18" fillId="3" borderId="36" xfId="0" applyNumberFormat="1" applyFont="1" applyFill="1" applyBorder="1" applyAlignment="1">
      <alignment horizontal="center" vertical="center" wrapText="1"/>
    </xf>
    <xf numFmtId="3" fontId="16" fillId="6" borderId="98" xfId="0" applyNumberFormat="1" applyFont="1" applyFill="1" applyBorder="1" applyAlignment="1">
      <alignment horizontal="center" vertical="center" wrapText="1"/>
    </xf>
    <xf numFmtId="3" fontId="16" fillId="0" borderId="98" xfId="0" applyNumberFormat="1" applyFont="1" applyBorder="1" applyAlignment="1">
      <alignment horizontal="center" vertical="center" wrapText="1"/>
    </xf>
    <xf numFmtId="3" fontId="18" fillId="3" borderId="98" xfId="0" applyNumberFormat="1" applyFont="1" applyFill="1" applyBorder="1" applyAlignment="1">
      <alignment horizontal="center" vertical="center" wrapText="1"/>
    </xf>
    <xf numFmtId="3" fontId="18" fillId="3" borderId="54" xfId="0" applyNumberFormat="1" applyFont="1" applyFill="1" applyBorder="1" applyAlignment="1">
      <alignment horizontal="center" vertical="center" wrapText="1"/>
    </xf>
    <xf numFmtId="3" fontId="16" fillId="0" borderId="91" xfId="0" applyNumberFormat="1" applyFont="1" applyBorder="1" applyAlignment="1">
      <alignment horizontal="center" vertical="center" wrapText="1"/>
    </xf>
    <xf numFmtId="3" fontId="18" fillId="3" borderId="91" xfId="0" applyNumberFormat="1" applyFont="1" applyFill="1" applyBorder="1" applyAlignment="1">
      <alignment horizontal="center" vertical="center" wrapText="1"/>
    </xf>
    <xf numFmtId="3" fontId="16" fillId="8" borderId="91" xfId="0" applyNumberFormat="1" applyFont="1" applyFill="1" applyBorder="1" applyAlignment="1">
      <alignment horizontal="center" vertical="center" wrapText="1"/>
    </xf>
    <xf numFmtId="3" fontId="18" fillId="3" borderId="85" xfId="0" applyNumberFormat="1" applyFont="1" applyFill="1" applyBorder="1" applyAlignment="1">
      <alignment horizontal="center" vertical="center" wrapText="1"/>
    </xf>
    <xf numFmtId="3" fontId="18" fillId="3" borderId="38" xfId="0" applyNumberFormat="1" applyFont="1" applyFill="1" applyBorder="1" applyAlignment="1">
      <alignment horizontal="center" vertical="center" wrapText="1"/>
    </xf>
    <xf numFmtId="3" fontId="16" fillId="0" borderId="94" xfId="0" applyNumberFormat="1" applyFont="1" applyBorder="1" applyAlignment="1">
      <alignment horizontal="center" vertical="center" wrapText="1"/>
    </xf>
    <xf numFmtId="3" fontId="18" fillId="3" borderId="94" xfId="0" applyNumberFormat="1" applyFont="1" applyFill="1" applyBorder="1" applyAlignment="1">
      <alignment horizontal="center" vertical="center" wrapText="1"/>
    </xf>
    <xf numFmtId="3" fontId="18" fillId="3" borderId="96" xfId="0" applyNumberFormat="1" applyFont="1" applyFill="1" applyBorder="1" applyAlignment="1">
      <alignment horizontal="center" vertical="center" wrapText="1"/>
    </xf>
    <xf numFmtId="3" fontId="18" fillId="3" borderId="71" xfId="0" applyNumberFormat="1" applyFont="1" applyFill="1" applyBorder="1" applyAlignment="1">
      <alignment horizontal="center" vertical="center" wrapText="1"/>
    </xf>
    <xf numFmtId="3" fontId="16" fillId="0" borderId="99" xfId="0" applyNumberFormat="1" applyFont="1" applyBorder="1" applyAlignment="1">
      <alignment horizontal="center" vertical="center" wrapText="1"/>
    </xf>
    <xf numFmtId="3" fontId="16" fillId="6" borderId="99" xfId="0" applyNumberFormat="1" applyFont="1" applyFill="1" applyBorder="1" applyAlignment="1">
      <alignment horizontal="center" vertical="center" wrapText="1"/>
    </xf>
    <xf numFmtId="3" fontId="18" fillId="3" borderId="99" xfId="0" applyNumberFormat="1" applyFont="1" applyFill="1" applyBorder="1" applyAlignment="1">
      <alignment horizontal="center" vertical="center" wrapText="1"/>
    </xf>
    <xf numFmtId="3" fontId="16" fillId="7" borderId="99" xfId="0" applyNumberFormat="1" applyFont="1" applyFill="1" applyBorder="1" applyAlignment="1">
      <alignment horizontal="center" vertical="center" wrapText="1"/>
    </xf>
    <xf numFmtId="3" fontId="19" fillId="3" borderId="0" xfId="0" applyNumberFormat="1" applyFont="1" applyFill="1" applyAlignment="1">
      <alignment horizontal="center" vertical="center" wrapText="1"/>
    </xf>
    <xf numFmtId="3" fontId="19" fillId="3" borderId="88" xfId="0" applyNumberFormat="1" applyFont="1" applyFill="1" applyBorder="1" applyAlignment="1">
      <alignment horizontal="center" vertical="center" wrapText="1"/>
    </xf>
    <xf numFmtId="3" fontId="18" fillId="3" borderId="6" xfId="0" applyNumberFormat="1" applyFont="1" applyFill="1" applyBorder="1" applyAlignment="1">
      <alignment horizontal="center" vertical="center" wrapText="1"/>
    </xf>
    <xf numFmtId="3" fontId="16" fillId="0" borderId="96" xfId="0" applyNumberFormat="1" applyFont="1" applyBorder="1" applyAlignment="1">
      <alignment horizontal="center" vertical="center" wrapText="1"/>
    </xf>
    <xf numFmtId="3" fontId="16" fillId="6" borderId="96" xfId="0" applyNumberFormat="1" applyFont="1" applyFill="1" applyBorder="1" applyAlignment="1">
      <alignment horizontal="center" vertical="center" wrapText="1"/>
    </xf>
    <xf numFmtId="3" fontId="16" fillId="8" borderId="96" xfId="0" applyNumberFormat="1" applyFont="1" applyFill="1" applyBorder="1" applyAlignment="1">
      <alignment horizontal="center" vertical="center" wrapText="1"/>
    </xf>
    <xf numFmtId="3" fontId="16" fillId="8" borderId="94" xfId="0" applyNumberFormat="1" applyFont="1" applyFill="1" applyBorder="1" applyAlignment="1">
      <alignment horizontal="center" vertical="center" wrapText="1"/>
    </xf>
    <xf numFmtId="3" fontId="16" fillId="8" borderId="93" xfId="0" applyNumberFormat="1" applyFont="1" applyFill="1" applyBorder="1" applyAlignment="1">
      <alignment horizontal="center" vertical="center" wrapText="1"/>
    </xf>
    <xf numFmtId="3" fontId="16" fillId="0" borderId="89" xfId="0" applyNumberFormat="1" applyFont="1" applyBorder="1" applyAlignment="1">
      <alignment horizontal="center" vertical="center" wrapText="1"/>
    </xf>
    <xf numFmtId="3" fontId="16" fillId="8" borderId="89" xfId="0" applyNumberFormat="1" applyFont="1" applyFill="1" applyBorder="1" applyAlignment="1">
      <alignment horizontal="center" vertical="center" wrapText="1"/>
    </xf>
    <xf numFmtId="3" fontId="18" fillId="3" borderId="89" xfId="0" applyNumberFormat="1" applyFont="1" applyFill="1" applyBorder="1" applyAlignment="1">
      <alignment horizontal="center" vertical="center" wrapText="1"/>
    </xf>
    <xf numFmtId="3" fontId="18" fillId="3" borderId="27" xfId="0" applyNumberFormat="1" applyFont="1" applyFill="1" applyBorder="1" applyAlignment="1">
      <alignment horizontal="center" vertical="center" wrapText="1"/>
    </xf>
    <xf numFmtId="3" fontId="16" fillId="0" borderId="90" xfId="0" applyNumberFormat="1" applyFont="1" applyBorder="1" applyAlignment="1">
      <alignment horizontal="center" vertical="center" wrapText="1"/>
    </xf>
    <xf numFmtId="3" fontId="16" fillId="8" borderId="90" xfId="0" applyNumberFormat="1" applyFont="1" applyFill="1" applyBorder="1" applyAlignment="1">
      <alignment horizontal="center" vertical="center" wrapText="1"/>
    </xf>
    <xf numFmtId="3" fontId="18" fillId="3" borderId="90" xfId="0" applyNumberFormat="1" applyFont="1" applyFill="1" applyBorder="1" applyAlignment="1">
      <alignment horizontal="center" vertical="center" wrapText="1"/>
    </xf>
    <xf numFmtId="3" fontId="16" fillId="6" borderId="90" xfId="0" applyNumberFormat="1" applyFont="1" applyFill="1" applyBorder="1" applyAlignment="1">
      <alignment horizontal="center" vertical="center" wrapText="1"/>
    </xf>
    <xf numFmtId="3" fontId="16" fillId="7" borderId="90" xfId="0" applyNumberFormat="1" applyFont="1" applyFill="1" applyBorder="1" applyAlignment="1">
      <alignment horizontal="center" vertical="center" wrapText="1"/>
    </xf>
    <xf numFmtId="3" fontId="16" fillId="8" borderId="92" xfId="0" applyNumberFormat="1" applyFont="1" applyFill="1" applyBorder="1" applyAlignment="1">
      <alignment horizontal="center" vertical="center" wrapText="1"/>
    </xf>
    <xf numFmtId="3" fontId="18" fillId="3" borderId="0" xfId="0" applyNumberFormat="1" applyFont="1" applyFill="1" applyAlignment="1">
      <alignment horizontal="center" vertical="center" wrapText="1"/>
    </xf>
    <xf numFmtId="3" fontId="18" fillId="3" borderId="88" xfId="0" applyNumberFormat="1" applyFont="1" applyFill="1" applyBorder="1" applyAlignment="1">
      <alignment horizontal="center" vertical="center" wrapText="1"/>
    </xf>
    <xf numFmtId="3" fontId="18" fillId="3" borderId="28" xfId="0" applyNumberFormat="1" applyFont="1" applyFill="1" applyBorder="1" applyAlignment="1">
      <alignment horizontal="center" vertical="center" wrapText="1"/>
    </xf>
    <xf numFmtId="3" fontId="16" fillId="0" borderId="95" xfId="0" applyNumberFormat="1" applyFont="1" applyBorder="1" applyAlignment="1">
      <alignment horizontal="center" vertical="center" wrapText="1"/>
    </xf>
    <xf numFmtId="3" fontId="18" fillId="3" borderId="95" xfId="0" applyNumberFormat="1" applyFont="1" applyFill="1" applyBorder="1" applyAlignment="1">
      <alignment horizontal="center" vertical="center" wrapText="1"/>
    </xf>
    <xf numFmtId="3" fontId="16" fillId="8" borderId="95" xfId="0" applyNumberFormat="1" applyFont="1" applyFill="1" applyBorder="1" applyAlignment="1">
      <alignment horizontal="center" vertical="center" wrapText="1"/>
    </xf>
    <xf numFmtId="3" fontId="18" fillId="3" borderId="82" xfId="0" applyNumberFormat="1" applyFont="1" applyFill="1" applyBorder="1" applyAlignment="1">
      <alignment horizontal="center" vertical="center" wrapText="1"/>
    </xf>
    <xf numFmtId="3" fontId="16" fillId="0" borderId="97" xfId="0" applyNumberFormat="1" applyFont="1" applyBorder="1" applyAlignment="1">
      <alignment horizontal="center" vertical="center" wrapText="1"/>
    </xf>
    <xf numFmtId="3" fontId="18" fillId="3" borderId="97" xfId="0" applyNumberFormat="1" applyFont="1" applyFill="1" applyBorder="1" applyAlignment="1">
      <alignment horizontal="center" vertical="center" wrapText="1"/>
    </xf>
    <xf numFmtId="3" fontId="16" fillId="0" borderId="13" xfId="0" applyNumberFormat="1" applyFont="1" applyBorder="1" applyAlignment="1">
      <alignment horizontal="center" vertical="center" wrapText="1"/>
    </xf>
    <xf numFmtId="3" fontId="16" fillId="0" borderId="60" xfId="0" applyNumberFormat="1" applyFont="1" applyBorder="1" applyAlignment="1">
      <alignment horizontal="center" vertical="center" wrapText="1"/>
    </xf>
    <xf numFmtId="3" fontId="16" fillId="0" borderId="26" xfId="0" applyNumberFormat="1" applyFont="1" applyBorder="1" applyAlignment="1">
      <alignment horizontal="center" vertical="center" wrapText="1"/>
    </xf>
    <xf numFmtId="3" fontId="16" fillId="0" borderId="73" xfId="0" applyNumberFormat="1" applyFont="1" applyBorder="1" applyAlignment="1">
      <alignment horizontal="center" vertical="center" wrapText="1"/>
    </xf>
    <xf numFmtId="3" fontId="16" fillId="0" borderId="34" xfId="0" applyNumberFormat="1" applyFont="1" applyBorder="1" applyAlignment="1">
      <alignment horizontal="center" vertical="center" wrapText="1"/>
    </xf>
    <xf numFmtId="3" fontId="16" fillId="0" borderId="38" xfId="0" applyNumberFormat="1" applyFont="1" applyBorder="1" applyAlignment="1">
      <alignment horizontal="center" vertical="center" wrapText="1"/>
    </xf>
    <xf numFmtId="3" fontId="16" fillId="0" borderId="71" xfId="0" applyNumberFormat="1" applyFont="1" applyBorder="1" applyAlignment="1">
      <alignment horizontal="center" vertical="center" wrapText="1"/>
    </xf>
    <xf numFmtId="3" fontId="16" fillId="0" borderId="85" xfId="0" applyNumberFormat="1" applyFont="1" applyBorder="1" applyAlignment="1">
      <alignment horizontal="center" vertical="center" wrapText="1"/>
    </xf>
    <xf numFmtId="3" fontId="16" fillId="0" borderId="27" xfId="0" applyNumberFormat="1" applyFont="1" applyBorder="1" applyAlignment="1">
      <alignment horizontal="center" vertical="center" wrapText="1"/>
    </xf>
    <xf numFmtId="3" fontId="16" fillId="0" borderId="28" xfId="0" applyNumberFormat="1" applyFont="1" applyBorder="1" applyAlignment="1">
      <alignment horizontal="center" vertical="center" wrapText="1"/>
    </xf>
    <xf numFmtId="3" fontId="16" fillId="0" borderId="54" xfId="0" applyNumberFormat="1" applyFont="1" applyBorder="1" applyAlignment="1">
      <alignment horizontal="center" vertical="center" wrapText="1"/>
    </xf>
    <xf numFmtId="3" fontId="16" fillId="0" borderId="6" xfId="0" applyNumberFormat="1" applyFont="1" applyBorder="1" applyAlignment="1">
      <alignment horizontal="center" vertical="center" wrapText="1"/>
    </xf>
    <xf numFmtId="3" fontId="16" fillId="0" borderId="82" xfId="0" applyNumberFormat="1" applyFont="1" applyBorder="1" applyAlignment="1">
      <alignment horizontal="center" vertical="center" wrapText="1"/>
    </xf>
    <xf numFmtId="3" fontId="16" fillId="0" borderId="21" xfId="0" applyNumberFormat="1" applyFont="1" applyBorder="1" applyAlignment="1">
      <alignment horizontal="center" vertical="center" wrapText="1"/>
    </xf>
    <xf numFmtId="3" fontId="16" fillId="0" borderId="23" xfId="0" applyNumberFormat="1" applyFont="1" applyBorder="1" applyAlignment="1">
      <alignment horizontal="center" vertical="center" wrapText="1"/>
    </xf>
    <xf numFmtId="3" fontId="16" fillId="0" borderId="32" xfId="0" applyNumberFormat="1" applyFont="1" applyBorder="1" applyAlignment="1">
      <alignment horizontal="center" vertical="center" wrapText="1"/>
    </xf>
    <xf numFmtId="2" fontId="22" fillId="9" borderId="0" xfId="0" applyNumberFormat="1" applyFont="1" applyFill="1" applyAlignment="1">
      <alignment horizontal="center"/>
    </xf>
    <xf numFmtId="2" fontId="22" fillId="9" borderId="62" xfId="0" applyNumberFormat="1" applyFont="1" applyFill="1" applyBorder="1" applyAlignment="1">
      <alignment horizontal="center"/>
    </xf>
    <xf numFmtId="2" fontId="22" fillId="9" borderId="63" xfId="0" applyNumberFormat="1" applyFont="1" applyFill="1" applyBorder="1" applyAlignment="1">
      <alignment horizontal="center"/>
    </xf>
    <xf numFmtId="0" fontId="22" fillId="9" borderId="0" xfId="0" applyFont="1" applyFill="1" applyAlignment="1">
      <alignment horizontal="center"/>
    </xf>
    <xf numFmtId="0" fontId="22" fillId="9" borderId="62" xfId="0" applyFont="1" applyFill="1" applyBorder="1" applyAlignment="1">
      <alignment horizontal="center"/>
    </xf>
    <xf numFmtId="0" fontId="22" fillId="9" borderId="63" xfId="0" applyFont="1" applyFill="1" applyBorder="1" applyAlignment="1">
      <alignment horizontal="center"/>
    </xf>
    <xf numFmtId="166" fontId="16" fillId="9" borderId="0" xfId="0" applyNumberFormat="1" applyFont="1" applyFill="1" applyAlignment="1">
      <alignment horizontal="right"/>
    </xf>
    <xf numFmtId="9" fontId="16" fillId="9" borderId="0" xfId="0" applyNumberFormat="1" applyFont="1" applyFill="1" applyAlignment="1">
      <alignment horizontal="center"/>
    </xf>
    <xf numFmtId="10" fontId="15" fillId="9" borderId="0" xfId="0" applyNumberFormat="1" applyFont="1" applyFill="1" applyAlignment="1">
      <alignment horizontal="center"/>
    </xf>
    <xf numFmtId="3" fontId="16" fillId="0" borderId="89" xfId="0" applyNumberFormat="1" applyFont="1" applyBorder="1" applyAlignment="1">
      <alignment horizontal="left" vertical="center" wrapText="1"/>
    </xf>
    <xf numFmtId="3" fontId="16" fillId="0" borderId="90" xfId="0" applyNumberFormat="1" applyFont="1" applyBorder="1" applyAlignment="1">
      <alignment horizontal="left" vertical="center" wrapText="1"/>
    </xf>
    <xf numFmtId="3" fontId="16" fillId="0" borderId="91" xfId="0" applyNumberFormat="1" applyFont="1" applyBorder="1" applyAlignment="1">
      <alignment horizontal="left" vertical="center" wrapText="1"/>
    </xf>
    <xf numFmtId="3" fontId="16" fillId="0" borderId="92" xfId="0" applyNumberFormat="1" applyFont="1" applyBorder="1" applyAlignment="1">
      <alignment horizontal="left" vertical="center" wrapText="1"/>
    </xf>
    <xf numFmtId="3" fontId="16" fillId="0" borderId="88" xfId="0" applyNumberFormat="1" applyFont="1" applyBorder="1" applyAlignment="1">
      <alignment horizontal="left" vertical="center" wrapText="1"/>
    </xf>
    <xf numFmtId="3" fontId="16" fillId="0" borderId="93" xfId="0" applyNumberFormat="1" applyFont="1" applyBorder="1" applyAlignment="1">
      <alignment horizontal="left" vertical="center" wrapText="1"/>
    </xf>
    <xf numFmtId="3" fontId="16" fillId="0" borderId="94" xfId="0" applyNumberFormat="1" applyFont="1" applyBorder="1" applyAlignment="1">
      <alignment horizontal="left" vertical="center" wrapText="1"/>
    </xf>
    <xf numFmtId="3" fontId="16" fillId="0" borderId="95" xfId="0" applyNumberFormat="1" applyFont="1" applyBorder="1" applyAlignment="1">
      <alignment horizontal="left" vertical="center" wrapText="1"/>
    </xf>
    <xf numFmtId="3" fontId="16" fillId="0" borderId="96" xfId="0" applyNumberFormat="1" applyFont="1" applyBorder="1" applyAlignment="1">
      <alignment horizontal="left" vertical="center" wrapText="1"/>
    </xf>
    <xf numFmtId="3" fontId="16" fillId="0" borderId="97" xfId="0" applyNumberFormat="1" applyFont="1" applyBorder="1" applyAlignment="1">
      <alignment horizontal="left" vertical="center" wrapText="1"/>
    </xf>
    <xf numFmtId="3" fontId="16" fillId="0" borderId="98" xfId="0" applyNumberFormat="1" applyFont="1" applyBorder="1" applyAlignment="1">
      <alignment horizontal="left" vertical="center" wrapText="1"/>
    </xf>
    <xf numFmtId="3" fontId="16" fillId="0" borderId="99" xfId="0" applyNumberFormat="1" applyFont="1" applyBorder="1" applyAlignment="1">
      <alignment horizontal="left" vertical="center" wrapText="1"/>
    </xf>
    <xf numFmtId="1" fontId="15" fillId="5" borderId="44" xfId="0" applyNumberFormat="1" applyFont="1" applyFill="1" applyBorder="1" applyAlignment="1">
      <alignment horizontal="center" vertical="center" wrapText="1"/>
    </xf>
    <xf numFmtId="3" fontId="16" fillId="0" borderId="103" xfId="0" applyNumberFormat="1" applyFont="1" applyBorder="1" applyAlignment="1">
      <alignment horizontal="center" vertical="center" wrapText="1"/>
    </xf>
    <xf numFmtId="1" fontId="15" fillId="0" borderId="44" xfId="0" applyNumberFormat="1" applyFont="1" applyBorder="1" applyAlignment="1">
      <alignment horizontal="center" vertical="center" wrapText="1"/>
    </xf>
    <xf numFmtId="3" fontId="16" fillId="6" borderId="89" xfId="0" applyNumberFormat="1" applyFont="1" applyFill="1" applyBorder="1" applyAlignment="1">
      <alignment horizontal="center" vertical="center" wrapText="1"/>
    </xf>
    <xf numFmtId="3" fontId="16" fillId="6" borderId="13" xfId="0" applyNumberFormat="1" applyFont="1" applyFill="1" applyBorder="1" applyAlignment="1">
      <alignment horizontal="center" vertical="center" wrapText="1"/>
    </xf>
    <xf numFmtId="3" fontId="16" fillId="6" borderId="27" xfId="0" applyNumberFormat="1" applyFont="1" applyFill="1" applyBorder="1" applyAlignment="1">
      <alignment horizontal="center" vertical="center" wrapText="1"/>
    </xf>
    <xf numFmtId="3" fontId="16" fillId="6" borderId="32" xfId="0" applyNumberFormat="1" applyFont="1" applyFill="1" applyBorder="1" applyAlignment="1">
      <alignment horizontal="center" vertical="center" wrapText="1"/>
    </xf>
    <xf numFmtId="3" fontId="16" fillId="6" borderId="34" xfId="0" applyNumberFormat="1" applyFont="1" applyFill="1" applyBorder="1" applyAlignment="1">
      <alignment horizontal="center" vertical="center" wrapText="1"/>
    </xf>
    <xf numFmtId="49" fontId="16" fillId="0" borderId="103" xfId="0" applyNumberFormat="1" applyFont="1" applyBorder="1" applyAlignment="1">
      <alignment horizontal="left" vertical="center" wrapText="1"/>
    </xf>
    <xf numFmtId="3" fontId="18" fillId="3" borderId="103" xfId="0" applyNumberFormat="1" applyFont="1" applyFill="1" applyBorder="1" applyAlignment="1">
      <alignment horizontal="center" vertical="center" wrapText="1"/>
    </xf>
    <xf numFmtId="3" fontId="16" fillId="0" borderId="104" xfId="0" applyNumberFormat="1" applyFont="1" applyBorder="1" applyAlignment="1">
      <alignment horizontal="left" vertical="center" wrapText="1"/>
    </xf>
    <xf numFmtId="3" fontId="16" fillId="0" borderId="104" xfId="0" applyNumberFormat="1" applyFont="1" applyBorder="1" applyAlignment="1">
      <alignment horizontal="center" vertical="center" wrapText="1"/>
    </xf>
    <xf numFmtId="3" fontId="18" fillId="3" borderId="104" xfId="0" applyNumberFormat="1" applyFont="1" applyFill="1" applyBorder="1" applyAlignment="1">
      <alignment horizontal="center" vertical="center" wrapText="1"/>
    </xf>
    <xf numFmtId="4" fontId="16" fillId="4" borderId="105" xfId="0" applyNumberFormat="1" applyFont="1" applyFill="1" applyBorder="1" applyAlignment="1">
      <alignment horizontal="center" vertical="center" wrapText="1"/>
    </xf>
    <xf numFmtId="4" fontId="16" fillId="4" borderId="106" xfId="0" applyNumberFormat="1" applyFont="1" applyFill="1" applyBorder="1" applyAlignment="1">
      <alignment horizontal="center" vertical="center" wrapText="1"/>
    </xf>
    <xf numFmtId="4" fontId="18" fillId="3" borderId="106" xfId="0" applyNumberFormat="1" applyFont="1" applyFill="1" applyBorder="1" applyAlignment="1">
      <alignment horizontal="center" vertical="center" wrapText="1"/>
    </xf>
    <xf numFmtId="4" fontId="16" fillId="4" borderId="107" xfId="0" applyNumberFormat="1" applyFont="1" applyFill="1" applyBorder="1" applyAlignment="1">
      <alignment horizontal="center" vertical="center" wrapText="1"/>
    </xf>
    <xf numFmtId="49" fontId="16" fillId="0" borderId="108" xfId="0" applyNumberFormat="1" applyFont="1" applyBorder="1" applyAlignment="1">
      <alignment horizontal="left" vertical="center" wrapText="1"/>
    </xf>
    <xf numFmtId="3" fontId="18" fillId="3" borderId="108" xfId="0" applyNumberFormat="1" applyFont="1" applyFill="1" applyBorder="1" applyAlignment="1">
      <alignment horizontal="center" vertical="center" wrapText="1"/>
    </xf>
    <xf numFmtId="3" fontId="16" fillId="0" borderId="109" xfId="0" applyNumberFormat="1" applyFont="1" applyBorder="1" applyAlignment="1">
      <alignment horizontal="left" vertical="center" wrapText="1"/>
    </xf>
    <xf numFmtId="3" fontId="16" fillId="0" borderId="109" xfId="0" applyNumberFormat="1" applyFont="1" applyBorder="1" applyAlignment="1">
      <alignment horizontal="center" vertical="center" wrapText="1"/>
    </xf>
    <xf numFmtId="3" fontId="18" fillId="3" borderId="109" xfId="0" applyNumberFormat="1" applyFont="1" applyFill="1" applyBorder="1" applyAlignment="1">
      <alignment horizontal="center" vertical="center" wrapText="1"/>
    </xf>
    <xf numFmtId="4" fontId="16" fillId="4" borderId="110" xfId="0" applyNumberFormat="1" applyFont="1" applyFill="1" applyBorder="1" applyAlignment="1">
      <alignment horizontal="center" vertical="center" wrapText="1"/>
    </xf>
    <xf numFmtId="4" fontId="16" fillId="4" borderId="111" xfId="0" applyNumberFormat="1" applyFont="1" applyFill="1" applyBorder="1" applyAlignment="1">
      <alignment horizontal="center" vertical="center" wrapText="1"/>
    </xf>
    <xf numFmtId="4" fontId="18" fillId="3" borderId="112" xfId="0" applyNumberFormat="1" applyFont="1" applyFill="1" applyBorder="1" applyAlignment="1">
      <alignment horizontal="center" vertical="center" wrapText="1"/>
    </xf>
    <xf numFmtId="4" fontId="18" fillId="3" borderId="111" xfId="0" applyNumberFormat="1" applyFont="1" applyFill="1" applyBorder="1" applyAlignment="1">
      <alignment horizontal="center" vertical="center" wrapText="1"/>
    </xf>
    <xf numFmtId="3" fontId="16" fillId="6" borderId="108" xfId="0" applyNumberFormat="1" applyFont="1" applyFill="1" applyBorder="1" applyAlignment="1">
      <alignment horizontal="center" vertical="center" wrapText="1"/>
    </xf>
    <xf numFmtId="4" fontId="16" fillId="4" borderId="113" xfId="0" applyNumberFormat="1" applyFont="1" applyFill="1" applyBorder="1" applyAlignment="1">
      <alignment horizontal="center" vertical="center" wrapText="1"/>
    </xf>
    <xf numFmtId="4" fontId="18" fillId="3" borderId="110" xfId="0" applyNumberFormat="1" applyFont="1" applyFill="1" applyBorder="1" applyAlignment="1">
      <alignment horizontal="center" vertical="center" wrapText="1"/>
    </xf>
    <xf numFmtId="3" fontId="16" fillId="0" borderId="108" xfId="0" applyNumberFormat="1" applyFont="1" applyBorder="1" applyAlignment="1">
      <alignment horizontal="center" vertical="center" wrapText="1"/>
    </xf>
    <xf numFmtId="4" fontId="18" fillId="3" borderId="114" xfId="0" applyNumberFormat="1" applyFont="1" applyFill="1" applyBorder="1" applyAlignment="1">
      <alignment horizontal="center" vertical="center" wrapText="1"/>
    </xf>
    <xf numFmtId="3" fontId="16" fillId="8" borderId="109" xfId="0" applyNumberFormat="1" applyFont="1" applyFill="1" applyBorder="1" applyAlignment="1">
      <alignment horizontal="center" vertical="center" wrapText="1"/>
    </xf>
    <xf numFmtId="3" fontId="16" fillId="6" borderId="26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2" fontId="30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right" vertical="top" wrapText="1"/>
    </xf>
    <xf numFmtId="0" fontId="14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0" fontId="21" fillId="2" borderId="0" xfId="0" applyFont="1" applyFill="1" applyAlignment="1">
      <alignment horizontal="center"/>
    </xf>
  </cellXfs>
  <cellStyles count="10">
    <cellStyle name="Gevolgde hyperlink" xfId="2" builtinId="9" hidden="1"/>
    <cellStyle name="Gevolgde hyperlink" xfId="4" builtinId="9" hidden="1"/>
    <cellStyle name="Gevolgde hyperlink" xfId="6" builtinId="9" hidden="1"/>
    <cellStyle name="Gevolgde hyperlink" xfId="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/>
    <cellStyle name="Standaard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BF1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22725695323369"/>
          <c:y val="6.2547823116368098E-2"/>
          <c:w val="0.55266990202020605"/>
          <c:h val="0.87490435376726305"/>
        </c:manualLayout>
      </c:layout>
      <c:pieChart>
        <c:varyColors val="1"/>
        <c:ser>
          <c:idx val="0"/>
          <c:order val="0"/>
          <c:tx>
            <c:strRef>
              <c:f>'2024 H1'!$F$12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0699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9A8-438C-A1A5-1C038257E93F}"/>
              </c:ext>
            </c:extLst>
          </c:dPt>
          <c:dPt>
            <c:idx val="1"/>
            <c:bubble3D val="0"/>
            <c:spPr>
              <a:solidFill>
                <a:srgbClr val="9E41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9A8-438C-A1A5-1C038257E93F}"/>
              </c:ext>
            </c:extLst>
          </c:dPt>
          <c:dPt>
            <c:idx val="2"/>
            <c:bubble3D val="0"/>
            <c:spPr>
              <a:solidFill>
                <a:srgbClr val="7F9A4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9A8-438C-A1A5-1C038257E93F}"/>
              </c:ext>
            </c:extLst>
          </c:dPt>
          <c:dPt>
            <c:idx val="3"/>
            <c:bubble3D val="0"/>
            <c:spPr>
              <a:solidFill>
                <a:srgbClr val="69518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9A8-438C-A1A5-1C038257E93F}"/>
              </c:ext>
            </c:extLst>
          </c:dPt>
          <c:dPt>
            <c:idx val="4"/>
            <c:bubble3D val="0"/>
            <c:spPr>
              <a:solidFill>
                <a:srgbClr val="3C8DA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9A8-438C-A1A5-1C038257E93F}"/>
              </c:ext>
            </c:extLst>
          </c:dPt>
          <c:dPt>
            <c:idx val="5"/>
            <c:bubble3D val="0"/>
            <c:spPr>
              <a:solidFill>
                <a:srgbClr val="CC7B3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9A8-438C-A1A5-1C038257E93F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39A8-438C-A1A5-1C038257E93F}"/>
              </c:ext>
            </c:extLst>
          </c:dPt>
          <c:dPt>
            <c:idx val="7"/>
            <c:bubble3D val="0"/>
            <c:spPr>
              <a:solidFill>
                <a:srgbClr val="C0504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E-39A8-438C-A1A5-1C038257E93F}"/>
              </c:ext>
            </c:extLst>
          </c:dPt>
          <c:dPt>
            <c:idx val="8"/>
            <c:bubble3D val="0"/>
            <c:spPr>
              <a:solidFill>
                <a:srgbClr val="9BBB5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0-39A8-438C-A1A5-1C038257E93F}"/>
              </c:ext>
            </c:extLst>
          </c:dPt>
          <c:dPt>
            <c:idx val="10"/>
            <c:bubble3D val="0"/>
            <c:spPr>
              <a:solidFill>
                <a:srgbClr val="8064A2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2-39A8-438C-A1A5-1C038257E93F}"/>
              </c:ext>
            </c:extLst>
          </c:dPt>
          <c:dPt>
            <c:idx val="11"/>
            <c:bubble3D val="0"/>
            <c:spPr>
              <a:solidFill>
                <a:srgbClr val="4BACC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4-39A8-438C-A1A5-1C038257E93F}"/>
              </c:ext>
            </c:extLst>
          </c:dPt>
          <c:dPt>
            <c:idx val="12"/>
            <c:bubble3D val="0"/>
            <c:spPr>
              <a:solidFill>
                <a:srgbClr val="F7964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6-39A8-438C-A1A5-1C038257E93F}"/>
              </c:ext>
            </c:extLst>
          </c:dPt>
          <c:dPt>
            <c:idx val="13"/>
            <c:bubble3D val="0"/>
            <c:spPr>
              <a:solidFill>
                <a:srgbClr val="AABA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39A8-438C-A1A5-1C038257E93F}"/>
              </c:ext>
            </c:extLst>
          </c:dPt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 H1'!$B$12:$B$24</c:f>
              <c:strCache>
                <c:ptCount val="13"/>
                <c:pt idx="0">
                  <c:v>Scope 1</c:v>
                </c:pt>
                <c:pt idx="7">
                  <c:v>Scope 2</c:v>
                </c:pt>
                <c:pt idx="12">
                  <c:v>Business travel - scope 3</c:v>
                </c:pt>
              </c:strCache>
            </c:strRef>
          </c:cat>
          <c:val>
            <c:numRef>
              <c:f>'2024 H1'!$G$12:$G$24</c:f>
              <c:numCache>
                <c:formatCode>General</c:formatCode>
                <c:ptCount val="13"/>
                <c:pt idx="0" formatCode="0.00">
                  <c:v>636.77396299999998</c:v>
                </c:pt>
                <c:pt idx="7" formatCode="0.00">
                  <c:v>27.970088000000001</c:v>
                </c:pt>
                <c:pt idx="12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39A8-438C-A1A5-1C038257E9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50000000000001" l="0.70000000000000095" r="0.70000000000000095" t="0.750000000000001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285763582853203E-2"/>
          <c:y val="0.13388713469478999"/>
          <c:w val="0.41250009027342299"/>
          <c:h val="0.77731244709928804"/>
        </c:manualLayout>
      </c:layout>
      <c:pieChart>
        <c:varyColors val="1"/>
        <c:ser>
          <c:idx val="0"/>
          <c:order val="0"/>
          <c:spPr>
            <a:gradFill rotWithShape="0">
              <a:gsLst>
                <a:gs pos="0">
                  <a:srgbClr val="3A7CCB"/>
                </a:gs>
                <a:gs pos="20000">
                  <a:srgbClr val="3C7BC7"/>
                </a:gs>
                <a:gs pos="100000">
                  <a:srgbClr val="2C5D98"/>
                </a:gs>
              </a:gsLst>
              <a:lin ang="5400000"/>
            </a:gra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dPt>
            <c:idx val="0"/>
            <c:bubble3D val="0"/>
            <c:spPr>
              <a:gradFill rotWithShape="0">
                <a:gsLst>
                  <a:gs pos="0">
                    <a:srgbClr val="2E65A7"/>
                  </a:gs>
                  <a:gs pos="20000">
                    <a:srgbClr val="3065A4"/>
                  </a:gs>
                  <a:gs pos="100000">
                    <a:srgbClr val="224B7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A1B-4FDD-AB6A-0E89770C8C7B}"/>
              </c:ext>
            </c:extLst>
          </c:dPt>
          <c:dPt>
            <c:idx val="1"/>
            <c:bubble3D val="0"/>
            <c:spPr>
              <a:gradFill rotWithShape="0">
                <a:gsLst>
                  <a:gs pos="0">
                    <a:srgbClr val="AA2F2C"/>
                  </a:gs>
                  <a:gs pos="20000">
                    <a:srgbClr val="A7312E"/>
                  </a:gs>
                  <a:gs pos="100000">
                    <a:srgbClr val="7F2321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A1B-4FDD-AB6A-0E89770C8C7B}"/>
              </c:ext>
            </c:extLst>
          </c:dPt>
          <c:dPt>
            <c:idx val="2"/>
            <c:bubble3D val="0"/>
            <c:spPr>
              <a:gradFill rotWithShape="0">
                <a:gsLst>
                  <a:gs pos="0">
                    <a:srgbClr val="80A438"/>
                  </a:gs>
                  <a:gs pos="20000">
                    <a:srgbClr val="7FA13A"/>
                  </a:gs>
                  <a:gs pos="100000">
                    <a:srgbClr val="607A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5A1B-4FDD-AB6A-0E89770C8C7B}"/>
              </c:ext>
            </c:extLst>
          </c:dPt>
          <c:dPt>
            <c:idx val="3"/>
            <c:bubble3D val="0"/>
            <c:spPr>
              <a:gradFill rotWithShape="0">
                <a:gsLst>
                  <a:gs pos="0">
                    <a:srgbClr val="65468A"/>
                  </a:gs>
                  <a:gs pos="20000">
                    <a:srgbClr val="644788"/>
                  </a:gs>
                  <a:gs pos="100000">
                    <a:srgbClr val="4B346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5A1B-4FDD-AB6A-0E89770C8C7B}"/>
              </c:ext>
            </c:extLst>
          </c:dPt>
          <c:dPt>
            <c:idx val="4"/>
            <c:bubble3D val="0"/>
            <c:spPr>
              <a:gradFill rotWithShape="0">
                <a:gsLst>
                  <a:gs pos="0">
                    <a:srgbClr val="2994B0"/>
                  </a:gs>
                  <a:gs pos="20000">
                    <a:srgbClr val="2B91AD"/>
                  </a:gs>
                  <a:gs pos="100000">
                    <a:srgbClr val="1F6E83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5A1B-4FDD-AB6A-0E89770C8C7B}"/>
              </c:ext>
            </c:extLst>
          </c:dPt>
          <c:dPt>
            <c:idx val="5"/>
            <c:bubble3D val="0"/>
            <c:spPr>
              <a:gradFill rotWithShape="0">
                <a:gsLst>
                  <a:gs pos="0">
                    <a:srgbClr val="E0751D"/>
                  </a:gs>
                  <a:gs pos="20000">
                    <a:srgbClr val="DB7521"/>
                  </a:gs>
                  <a:gs pos="100000">
                    <a:srgbClr val="A85816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5A1B-4FDD-AB6A-0E89770C8C7B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5A1B-4FDD-AB6A-0E89770C8C7B}"/>
              </c:ext>
            </c:extLst>
          </c:dPt>
          <c:dPt>
            <c:idx val="7"/>
            <c:bubble3D val="0"/>
            <c:spPr>
              <a:gradFill rotWithShape="0">
                <a:gsLst>
                  <a:gs pos="0">
                    <a:srgbClr val="CE3B37"/>
                  </a:gs>
                  <a:gs pos="20000">
                    <a:srgbClr val="CB3D3A"/>
                  </a:gs>
                  <a:gs pos="100000">
                    <a:srgbClr val="9B2D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5A1B-4FDD-AB6A-0E89770C8C7B}"/>
              </c:ext>
            </c:extLst>
          </c:dPt>
          <c:dPt>
            <c:idx val="8"/>
            <c:bubble3D val="0"/>
            <c:spPr>
              <a:gradFill rotWithShape="0">
                <a:gsLst>
                  <a:gs pos="0">
                    <a:srgbClr val="DB9D9D"/>
                  </a:gs>
                  <a:gs pos="20000">
                    <a:srgbClr val="D99E9D"/>
                  </a:gs>
                  <a:gs pos="100000">
                    <a:srgbClr val="A6787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5A1B-4FDD-AB6A-0E89770C8C7B}"/>
              </c:ext>
            </c:extLst>
          </c:dPt>
          <c:dPt>
            <c:idx val="9"/>
            <c:bubble3D val="0"/>
            <c:spPr>
              <a:gradFill rotWithShape="0">
                <a:gsLst>
                  <a:gs pos="0">
                    <a:srgbClr val="9CC746"/>
                  </a:gs>
                  <a:gs pos="20000">
                    <a:srgbClr val="9BC348"/>
                  </a:gs>
                  <a:gs pos="100000">
                    <a:srgbClr val="769535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5A1B-4FDD-AB6A-0E89770C8C7B}"/>
              </c:ext>
            </c:extLst>
          </c:dPt>
          <c:dPt>
            <c:idx val="10"/>
            <c:bubble3D val="0"/>
            <c:spPr>
              <a:gradFill rotWithShape="0">
                <a:gsLst>
                  <a:gs pos="0">
                    <a:srgbClr val="7B57A8"/>
                  </a:gs>
                  <a:gs pos="20000">
                    <a:srgbClr val="7B58A6"/>
                  </a:gs>
                  <a:gs pos="100000">
                    <a:srgbClr val="5D417E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5A1B-4FDD-AB6A-0E89770C8C7B}"/>
              </c:ext>
            </c:extLst>
          </c:dPt>
          <c:dPt>
            <c:idx val="11"/>
            <c:bubble3D val="0"/>
            <c:spPr>
              <a:gradFill rotWithShape="0">
                <a:gsLst>
                  <a:gs pos="0">
                    <a:srgbClr val="34B3D6"/>
                  </a:gs>
                  <a:gs pos="20000">
                    <a:srgbClr val="36B1D2"/>
                  </a:gs>
                  <a:gs pos="100000">
                    <a:srgbClr val="2787A0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5A1B-4FDD-AB6A-0E89770C8C7B}"/>
              </c:ext>
            </c:extLst>
          </c:dPt>
          <c:dPt>
            <c:idx val="12"/>
            <c:bubble3D val="0"/>
            <c:spPr>
              <a:gradFill rotWithShape="0">
                <a:gsLst>
                  <a:gs pos="0">
                    <a:srgbClr val="FF8F26"/>
                  </a:gs>
                  <a:gs pos="20000">
                    <a:srgbClr val="FF8F2A"/>
                  </a:gs>
                  <a:gs pos="100000">
                    <a:srgbClr val="CB6C1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8-5A1B-4FDD-AB6A-0E89770C8C7B}"/>
              </c:ext>
            </c:extLst>
          </c:dPt>
          <c:dPt>
            <c:idx val="13"/>
            <c:bubble3D val="0"/>
            <c:spPr>
              <a:gradFill rotWithShape="0">
                <a:gsLst>
                  <a:gs pos="0">
                    <a:srgbClr val="9DB3D9"/>
                  </a:gs>
                  <a:gs pos="20000">
                    <a:srgbClr val="9EB3D7"/>
                  </a:gs>
                  <a:gs pos="100000">
                    <a:srgbClr val="7888A4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A-5A1B-4FDD-AB6A-0E89770C8C7B}"/>
              </c:ext>
            </c:extLst>
          </c:dPt>
          <c:dPt>
            <c:idx val="14"/>
            <c:bubble3D val="0"/>
            <c:spPr>
              <a:gradFill rotWithShape="0">
                <a:gsLst>
                  <a:gs pos="0">
                    <a:srgbClr val="C2D7A1"/>
                  </a:gs>
                  <a:gs pos="20000">
                    <a:srgbClr val="C1D5A1"/>
                  </a:gs>
                  <a:gs pos="100000">
                    <a:srgbClr val="93A37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C-5A1B-4FDD-AB6A-0E89770C8C7B}"/>
              </c:ext>
            </c:extLst>
          </c:dPt>
          <c:dPt>
            <c:idx val="15"/>
            <c:bubble3D val="0"/>
            <c:spPr>
              <a:gradFill rotWithShape="0">
                <a:gsLst>
                  <a:gs pos="0">
                    <a:srgbClr val="B4A7C8"/>
                  </a:gs>
                  <a:gs pos="20000">
                    <a:srgbClr val="B3A6C6"/>
                  </a:gs>
                  <a:gs pos="100000">
                    <a:srgbClr val="887E9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E-5A1B-4FDD-AB6A-0E89770C8C7B}"/>
              </c:ext>
            </c:extLst>
          </c:dPt>
          <c:dPt>
            <c:idx val="16"/>
            <c:bubble3D val="0"/>
            <c:spPr>
              <a:gradFill rotWithShape="0">
                <a:gsLst>
                  <a:gs pos="0">
                    <a:srgbClr val="9BCDDF"/>
                  </a:gs>
                  <a:gs pos="20000">
                    <a:srgbClr val="9CCBDD"/>
                  </a:gs>
                  <a:gs pos="100000">
                    <a:srgbClr val="769BA9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0-5A1B-4FDD-AB6A-0E89770C8C7B}"/>
              </c:ext>
            </c:extLst>
          </c:dPt>
          <c:dLbls>
            <c:dLbl>
              <c:idx val="2"/>
              <c:layout>
                <c:manualLayout>
                  <c:x val="2.16640419947507E-3"/>
                  <c:y val="6.905741816491959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A1B-4FDD-AB6A-0E89770C8C7B}"/>
                </c:ext>
              </c:extLst>
            </c:dLbl>
            <c:dLbl>
              <c:idx val="5"/>
              <c:layout>
                <c:manualLayout>
                  <c:x val="-1.1669291338582701E-3"/>
                  <c:y val="-3.037117064191870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A1B-4FDD-AB6A-0E89770C8C7B}"/>
                </c:ext>
              </c:extLst>
            </c:dLbl>
            <c:dLbl>
              <c:idx val="6"/>
              <c:layout>
                <c:manualLayout>
                  <c:x val="7.8719160104986904E-2"/>
                  <c:y val="9.850510346188319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A1B-4FDD-AB6A-0E89770C8C7B}"/>
                </c:ext>
              </c:extLst>
            </c:dLbl>
            <c:dLbl>
              <c:idx val="10"/>
              <c:layout>
                <c:manualLayout>
                  <c:x val="9.2958923884514405E-2"/>
                  <c:y val="8.108238416471119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5A1B-4FDD-AB6A-0E89770C8C7B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'2025 H1'!$C$13:$C$28</c:f>
              <c:strCache>
                <c:ptCount val="16"/>
                <c:pt idx="0">
                  <c:v>Zakelijk verkeer: personenvervoer</c:v>
                </c:pt>
                <c:pt idx="1">
                  <c:v>Zakelijk verkeer: bedrijfsbusjes</c:v>
                </c:pt>
                <c:pt idx="2">
                  <c:v>Zakelijk verkeer: vrachtverkeer</c:v>
                </c:pt>
                <c:pt idx="3">
                  <c:v>Overige energiedragers</c:v>
                </c:pt>
                <c:pt idx="4">
                  <c:v>Verwarming, gas</c:v>
                </c:pt>
                <c:pt idx="7">
                  <c:v>Elektriciteitsverbruik</c:v>
                </c:pt>
                <c:pt idx="8">
                  <c:v>Zakelijk verkeer: electr. wagenpark</c:v>
                </c:pt>
                <c:pt idx="9">
                  <c:v>Overige energie: stadswarmte</c:v>
                </c:pt>
                <c:pt idx="12">
                  <c:v>Zakelijk verkeer: priveauto's</c:v>
                </c:pt>
                <c:pt idx="13">
                  <c:v>Zakelijk verkeer: OV</c:v>
                </c:pt>
                <c:pt idx="14">
                  <c:v>Personenvervoer vliegtuig</c:v>
                </c:pt>
                <c:pt idx="15">
                  <c:v>Anders namelijk…</c:v>
                </c:pt>
              </c:strCache>
            </c:strRef>
          </c:cat>
          <c:val>
            <c:numRef>
              <c:f>'2025 H1'!$F$13:$F$28</c:f>
              <c:numCache>
                <c:formatCode>0.00</c:formatCode>
                <c:ptCount val="16"/>
                <c:pt idx="0">
                  <c:v>0</c:v>
                </c:pt>
                <c:pt idx="1">
                  <c:v>589.18410100000006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5A1B-4FDD-AB6A-0E89770C8C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egendEntry>
        <c:idx val="4"/>
        <c:delete val="1"/>
      </c:legendEntry>
      <c:legendEntry>
        <c:idx val="5"/>
        <c:delete val="1"/>
      </c:legendEntry>
      <c:legendEntry>
        <c:idx val="9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0.56324115735533054"/>
          <c:y val="1.4545344660864759E-2"/>
          <c:w val="0.3572136295463067"/>
          <c:h val="0.97458385136068515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1" l="0.75" r="0.75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22725695323369"/>
          <c:y val="6.2547823116368098E-2"/>
          <c:w val="0.55266990202020605"/>
          <c:h val="0.87490435376726305"/>
        </c:manualLayout>
      </c:layout>
      <c:pieChart>
        <c:varyColors val="1"/>
        <c:ser>
          <c:idx val="0"/>
          <c:order val="0"/>
          <c:tx>
            <c:strRef>
              <c:f>'2025 verdeling'!$F$12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0699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958-4208-BBF3-4845CFF33504}"/>
              </c:ext>
            </c:extLst>
          </c:dPt>
          <c:dPt>
            <c:idx val="1"/>
            <c:bubble3D val="0"/>
            <c:spPr>
              <a:solidFill>
                <a:srgbClr val="9E41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958-4208-BBF3-4845CFF33504}"/>
              </c:ext>
            </c:extLst>
          </c:dPt>
          <c:dPt>
            <c:idx val="2"/>
            <c:bubble3D val="0"/>
            <c:spPr>
              <a:solidFill>
                <a:srgbClr val="7F9A4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958-4208-BBF3-4845CFF33504}"/>
              </c:ext>
            </c:extLst>
          </c:dPt>
          <c:dPt>
            <c:idx val="3"/>
            <c:bubble3D val="0"/>
            <c:spPr>
              <a:solidFill>
                <a:srgbClr val="69518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958-4208-BBF3-4845CFF33504}"/>
              </c:ext>
            </c:extLst>
          </c:dPt>
          <c:dPt>
            <c:idx val="4"/>
            <c:bubble3D val="0"/>
            <c:spPr>
              <a:solidFill>
                <a:srgbClr val="3C8DA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958-4208-BBF3-4845CFF33504}"/>
              </c:ext>
            </c:extLst>
          </c:dPt>
          <c:dPt>
            <c:idx val="5"/>
            <c:bubble3D val="0"/>
            <c:spPr>
              <a:solidFill>
                <a:srgbClr val="CC7B3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958-4208-BBF3-4845CFF3350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0958-4208-BBF3-4845CFF33504}"/>
              </c:ext>
            </c:extLst>
          </c:dPt>
          <c:dPt>
            <c:idx val="7"/>
            <c:bubble3D val="0"/>
            <c:spPr>
              <a:solidFill>
                <a:srgbClr val="C0504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E-0958-4208-BBF3-4845CFF33504}"/>
              </c:ext>
            </c:extLst>
          </c:dPt>
          <c:dPt>
            <c:idx val="8"/>
            <c:bubble3D val="0"/>
            <c:spPr>
              <a:solidFill>
                <a:srgbClr val="9BBB5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0-0958-4208-BBF3-4845CFF33504}"/>
              </c:ext>
            </c:extLst>
          </c:dPt>
          <c:dLbls>
            <c:dLbl>
              <c:idx val="0"/>
              <c:layout>
                <c:manualLayout>
                  <c:x val="8.0998506261356504E-2"/>
                  <c:y val="-2.9850318663352721E-2"/>
                </c:manualLayout>
              </c:layout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032750943299172"/>
                      <c:h val="0.1340142941716501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0958-4208-BBF3-4845CFF33504}"/>
                </c:ext>
              </c:extLst>
            </c:dLbl>
            <c:dLbl>
              <c:idx val="7"/>
              <c:layout>
                <c:manualLayout>
                  <c:x val="-0.17718616702733087"/>
                  <c:y val="-0.12896821992089308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958-4208-BBF3-4845CFF33504}"/>
                </c:ext>
              </c:extLst>
            </c:dLbl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'2025 verdeling'!$B$12:$B$27</c:f>
              <c:strCache>
                <c:ptCount val="8"/>
                <c:pt idx="0">
                  <c:v>Eigen locatie</c:v>
                </c:pt>
                <c:pt idx="7">
                  <c:v>Projectlocaties</c:v>
                </c:pt>
              </c:strCache>
            </c:strRef>
          </c:cat>
          <c:val>
            <c:numRef>
              <c:f>'2025 verdeling'!$G$12:$G$27</c:f>
              <c:numCache>
                <c:formatCode>General</c:formatCode>
                <c:ptCount val="16"/>
                <c:pt idx="0" formatCode="0.00">
                  <c:v>0</c:v>
                </c:pt>
                <c:pt idx="7" formatCode="0.00">
                  <c:v>589.18410100000006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0958-4208-BBF3-4845CFF335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50000000000001" l="0.70000000000000095" r="0.70000000000000095" t="0.750000000000001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285763582853203E-2"/>
          <c:y val="0.13388713469478999"/>
          <c:w val="0.41250009027342299"/>
          <c:h val="0.77731244709928804"/>
        </c:manualLayout>
      </c:layout>
      <c:pieChart>
        <c:varyColors val="1"/>
        <c:ser>
          <c:idx val="0"/>
          <c:order val="0"/>
          <c:spPr>
            <a:gradFill rotWithShape="0">
              <a:gsLst>
                <a:gs pos="0">
                  <a:srgbClr val="3A7CCB"/>
                </a:gs>
                <a:gs pos="20000">
                  <a:srgbClr val="3C7BC7"/>
                </a:gs>
                <a:gs pos="100000">
                  <a:srgbClr val="2C5D98"/>
                </a:gs>
              </a:gsLst>
              <a:lin ang="5400000"/>
            </a:gra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dPt>
            <c:idx val="1"/>
            <c:bubble3D val="0"/>
            <c:spPr>
              <a:gradFill rotWithShape="0">
                <a:gsLst>
                  <a:gs pos="0">
                    <a:srgbClr val="2E65A7"/>
                  </a:gs>
                  <a:gs pos="20000">
                    <a:srgbClr val="3065A4"/>
                  </a:gs>
                  <a:gs pos="100000">
                    <a:srgbClr val="224B7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B40-4F46-9A19-4A7640791FA0}"/>
              </c:ext>
            </c:extLst>
          </c:dPt>
          <c:dPt>
            <c:idx val="2"/>
            <c:bubble3D val="0"/>
            <c:spPr>
              <a:gradFill rotWithShape="0">
                <a:gsLst>
                  <a:gs pos="0">
                    <a:srgbClr val="AA2F2C"/>
                  </a:gs>
                  <a:gs pos="20000">
                    <a:srgbClr val="A7312E"/>
                  </a:gs>
                  <a:gs pos="100000">
                    <a:srgbClr val="7F2321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5B40-4F46-9A19-4A7640791FA0}"/>
              </c:ext>
            </c:extLst>
          </c:dPt>
          <c:dPt>
            <c:idx val="3"/>
            <c:bubble3D val="0"/>
            <c:spPr>
              <a:gradFill rotWithShape="0">
                <a:gsLst>
                  <a:gs pos="0">
                    <a:srgbClr val="80A438"/>
                  </a:gs>
                  <a:gs pos="20000">
                    <a:srgbClr val="7FA13A"/>
                  </a:gs>
                  <a:gs pos="100000">
                    <a:srgbClr val="607A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5B40-4F46-9A19-4A7640791FA0}"/>
              </c:ext>
            </c:extLst>
          </c:dPt>
          <c:dPt>
            <c:idx val="4"/>
            <c:bubble3D val="0"/>
            <c:spPr>
              <a:gradFill rotWithShape="0">
                <a:gsLst>
                  <a:gs pos="0">
                    <a:srgbClr val="65468A"/>
                  </a:gs>
                  <a:gs pos="20000">
                    <a:srgbClr val="644788"/>
                  </a:gs>
                  <a:gs pos="100000">
                    <a:srgbClr val="4B346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5B40-4F46-9A19-4A7640791FA0}"/>
              </c:ext>
            </c:extLst>
          </c:dPt>
          <c:dPt>
            <c:idx val="5"/>
            <c:bubble3D val="0"/>
            <c:spPr>
              <a:gradFill rotWithShape="0">
                <a:gsLst>
                  <a:gs pos="0">
                    <a:srgbClr val="2994B0"/>
                  </a:gs>
                  <a:gs pos="20000">
                    <a:srgbClr val="2B91AD"/>
                  </a:gs>
                  <a:gs pos="100000">
                    <a:srgbClr val="1F6E83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5B40-4F46-9A19-4A7640791FA0}"/>
              </c:ext>
            </c:extLst>
          </c:dPt>
          <c:dPt>
            <c:idx val="6"/>
            <c:bubble3D val="0"/>
            <c:spPr>
              <a:gradFill rotWithShape="0">
                <a:gsLst>
                  <a:gs pos="0">
                    <a:srgbClr val="E0751D"/>
                  </a:gs>
                  <a:gs pos="20000">
                    <a:srgbClr val="DB7521"/>
                  </a:gs>
                  <a:gs pos="100000">
                    <a:srgbClr val="A85816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5B40-4F46-9A19-4A7640791FA0}"/>
              </c:ext>
            </c:extLst>
          </c:dPt>
          <c:dPt>
            <c:idx val="7"/>
            <c:bubble3D val="0"/>
            <c:extLst>
              <c:ext xmlns:c16="http://schemas.microsoft.com/office/drawing/2014/chart" uri="{C3380CC4-5D6E-409C-BE32-E72D297353CC}">
                <c16:uniqueId val="{0000000C-5B40-4F46-9A19-4A7640791FA0}"/>
              </c:ext>
            </c:extLst>
          </c:dPt>
          <c:dPt>
            <c:idx val="8"/>
            <c:bubble3D val="0"/>
            <c:spPr>
              <a:gradFill rotWithShape="0">
                <a:gsLst>
                  <a:gs pos="0">
                    <a:srgbClr val="CE3B37"/>
                  </a:gs>
                  <a:gs pos="20000">
                    <a:srgbClr val="CB3D3A"/>
                  </a:gs>
                  <a:gs pos="100000">
                    <a:srgbClr val="9B2D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5B40-4F46-9A19-4A7640791FA0}"/>
              </c:ext>
            </c:extLst>
          </c:dPt>
          <c:dPt>
            <c:idx val="9"/>
            <c:bubble3D val="0"/>
            <c:spPr>
              <a:gradFill rotWithShape="0">
                <a:gsLst>
                  <a:gs pos="0">
                    <a:srgbClr val="DB9D9D"/>
                  </a:gs>
                  <a:gs pos="20000">
                    <a:srgbClr val="D99E9D"/>
                  </a:gs>
                  <a:gs pos="100000">
                    <a:srgbClr val="A6787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5B40-4F46-9A19-4A7640791FA0}"/>
              </c:ext>
            </c:extLst>
          </c:dPt>
          <c:dLbls>
            <c:dLbl>
              <c:idx val="3"/>
              <c:layout>
                <c:manualLayout>
                  <c:x val="2.16640419947507E-3"/>
                  <c:y val="6.905741816491959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B40-4F46-9A19-4A7640791FA0}"/>
                </c:ext>
              </c:extLst>
            </c:dLbl>
            <c:dLbl>
              <c:idx val="6"/>
              <c:layout>
                <c:manualLayout>
                  <c:x val="-1.1669291338582701E-3"/>
                  <c:y val="-3.037117064191870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B40-4F46-9A19-4A7640791FA0}"/>
                </c:ext>
              </c:extLst>
            </c:dLbl>
            <c:dLbl>
              <c:idx val="7"/>
              <c:layout>
                <c:manualLayout>
                  <c:x val="2.7131921009873765E-2"/>
                  <c:y val="-1.114334392411541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B40-4F46-9A19-4A7640791FA0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'2025 verdeling'!$C$13:$C$27</c:f>
              <c:strCache>
                <c:ptCount val="15"/>
                <c:pt idx="0">
                  <c:v>Zakelijk verkeer: personenvervoer</c:v>
                </c:pt>
                <c:pt idx="1">
                  <c:v>Overige energiedragers</c:v>
                </c:pt>
                <c:pt idx="2">
                  <c:v>Verwarming, gas</c:v>
                </c:pt>
                <c:pt idx="3">
                  <c:v>Elektriciteitsverbruik</c:v>
                </c:pt>
                <c:pt idx="4">
                  <c:v>Zakelijk verkeer: OV</c:v>
                </c:pt>
                <c:pt idx="7">
                  <c:v>Zakelijk verkeer: personenvervoer</c:v>
                </c:pt>
                <c:pt idx="8">
                  <c:v>Zakelijk verkeer: bedrijfsbusjes</c:v>
                </c:pt>
                <c:pt idx="9">
                  <c:v>Zakelijk verkeer: vrachtverkeer</c:v>
                </c:pt>
                <c:pt idx="10">
                  <c:v>Overige energiedragers</c:v>
                </c:pt>
                <c:pt idx="11">
                  <c:v>Verwarming, gas</c:v>
                </c:pt>
                <c:pt idx="12">
                  <c:v>Elektriciteitsverbruik</c:v>
                </c:pt>
                <c:pt idx="13">
                  <c:v>Zakelijk verkeer: OV</c:v>
                </c:pt>
                <c:pt idx="14">
                  <c:v>Personenvervoer vliegtuig</c:v>
                </c:pt>
              </c:strCache>
            </c:strRef>
          </c:cat>
          <c:val>
            <c:numRef>
              <c:f>'2025 verdeling'!$F$13:$F$27</c:f>
              <c:numCache>
                <c:formatCode>0.00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7">
                  <c:v>0</c:v>
                </c:pt>
                <c:pt idx="8">
                  <c:v>589.18410100000006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5B40-4F46-9A19-4A7640791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egendEntry>
        <c:idx val="5"/>
        <c:delete val="1"/>
      </c:legendEntry>
      <c:legendEntry>
        <c:idx val="6"/>
        <c:delete val="1"/>
      </c:legendEntry>
      <c:layout>
        <c:manualLayout>
          <c:xMode val="edge"/>
          <c:yMode val="edge"/>
          <c:x val="0.57491969753780781"/>
          <c:y val="4.1545793617903011E-3"/>
          <c:w val="0.40127077865266841"/>
          <c:h val="0.98438089975595156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1" l="0.75" r="0.7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22725695323369"/>
          <c:y val="6.2547823116368098E-2"/>
          <c:w val="0.55266990202020605"/>
          <c:h val="0.87490435376726305"/>
        </c:manualLayout>
      </c:layout>
      <c:pieChart>
        <c:varyColors val="1"/>
        <c:ser>
          <c:idx val="0"/>
          <c:order val="0"/>
          <c:tx>
            <c:strRef>
              <c:f>'2025'!$F$12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0699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311-4C00-8993-792954A21A73}"/>
              </c:ext>
            </c:extLst>
          </c:dPt>
          <c:dPt>
            <c:idx val="1"/>
            <c:bubble3D val="0"/>
            <c:spPr>
              <a:solidFill>
                <a:srgbClr val="9E41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311-4C00-8993-792954A21A73}"/>
              </c:ext>
            </c:extLst>
          </c:dPt>
          <c:dPt>
            <c:idx val="2"/>
            <c:bubble3D val="0"/>
            <c:spPr>
              <a:solidFill>
                <a:srgbClr val="7F9A4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311-4C00-8993-792954A21A73}"/>
              </c:ext>
            </c:extLst>
          </c:dPt>
          <c:dPt>
            <c:idx val="3"/>
            <c:bubble3D val="0"/>
            <c:spPr>
              <a:solidFill>
                <a:srgbClr val="69518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311-4C00-8993-792954A21A73}"/>
              </c:ext>
            </c:extLst>
          </c:dPt>
          <c:dPt>
            <c:idx val="4"/>
            <c:bubble3D val="0"/>
            <c:spPr>
              <a:solidFill>
                <a:srgbClr val="3C8DA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311-4C00-8993-792954A21A73}"/>
              </c:ext>
            </c:extLst>
          </c:dPt>
          <c:dPt>
            <c:idx val="5"/>
            <c:bubble3D val="0"/>
            <c:spPr>
              <a:solidFill>
                <a:srgbClr val="CC7B3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311-4C00-8993-792954A21A73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9311-4C00-8993-792954A21A73}"/>
              </c:ext>
            </c:extLst>
          </c:dPt>
          <c:dPt>
            <c:idx val="7"/>
            <c:bubble3D val="0"/>
            <c:spPr>
              <a:solidFill>
                <a:srgbClr val="C0504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E-9311-4C00-8993-792954A21A73}"/>
              </c:ext>
            </c:extLst>
          </c:dPt>
          <c:dPt>
            <c:idx val="8"/>
            <c:bubble3D val="0"/>
            <c:spPr>
              <a:solidFill>
                <a:srgbClr val="9BBB5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0-9311-4C00-8993-792954A21A73}"/>
              </c:ext>
            </c:extLst>
          </c:dPt>
          <c:dPt>
            <c:idx val="10"/>
            <c:bubble3D val="0"/>
            <c:spPr>
              <a:solidFill>
                <a:srgbClr val="8064A2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2-9311-4C00-8993-792954A21A73}"/>
              </c:ext>
            </c:extLst>
          </c:dPt>
          <c:dPt>
            <c:idx val="11"/>
            <c:bubble3D val="0"/>
            <c:spPr>
              <a:solidFill>
                <a:srgbClr val="4BACC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4-9311-4C00-8993-792954A21A73}"/>
              </c:ext>
            </c:extLst>
          </c:dPt>
          <c:dPt>
            <c:idx val="12"/>
            <c:bubble3D val="0"/>
            <c:spPr>
              <a:solidFill>
                <a:srgbClr val="F7964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6-9311-4C00-8993-792954A21A73}"/>
              </c:ext>
            </c:extLst>
          </c:dPt>
          <c:dPt>
            <c:idx val="13"/>
            <c:bubble3D val="0"/>
            <c:spPr>
              <a:solidFill>
                <a:srgbClr val="AABA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9311-4C00-8993-792954A21A73}"/>
              </c:ext>
            </c:extLst>
          </c:dPt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'2025'!$B$12:$B$24</c:f>
              <c:strCache>
                <c:ptCount val="13"/>
                <c:pt idx="0">
                  <c:v>Scope 1</c:v>
                </c:pt>
                <c:pt idx="7">
                  <c:v>Scope 2</c:v>
                </c:pt>
                <c:pt idx="12">
                  <c:v>Business travel - scope 3</c:v>
                </c:pt>
              </c:strCache>
            </c:strRef>
          </c:cat>
          <c:val>
            <c:numRef>
              <c:f>'2025'!$G$12:$G$24</c:f>
              <c:numCache>
                <c:formatCode>General</c:formatCode>
                <c:ptCount val="13"/>
                <c:pt idx="0" formatCode="0.00">
                  <c:v>589.18410100000006</c:v>
                </c:pt>
                <c:pt idx="7" formatCode="0.00">
                  <c:v>0</c:v>
                </c:pt>
                <c:pt idx="12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9311-4C00-8993-792954A21A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50000000000001" l="0.70000000000000095" r="0.70000000000000095" t="0.750000000000001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285763582853203E-2"/>
          <c:y val="0.13388713469478999"/>
          <c:w val="0.41250009027342299"/>
          <c:h val="0.77731244709928804"/>
        </c:manualLayout>
      </c:layout>
      <c:pieChart>
        <c:varyColors val="1"/>
        <c:ser>
          <c:idx val="0"/>
          <c:order val="0"/>
          <c:spPr>
            <a:gradFill rotWithShape="0">
              <a:gsLst>
                <a:gs pos="0">
                  <a:srgbClr val="3A7CCB"/>
                </a:gs>
                <a:gs pos="20000">
                  <a:srgbClr val="3C7BC7"/>
                </a:gs>
                <a:gs pos="100000">
                  <a:srgbClr val="2C5D98"/>
                </a:gs>
              </a:gsLst>
              <a:lin ang="5400000"/>
            </a:gra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dPt>
            <c:idx val="0"/>
            <c:bubble3D val="0"/>
            <c:spPr>
              <a:gradFill rotWithShape="0">
                <a:gsLst>
                  <a:gs pos="0">
                    <a:srgbClr val="2E65A7"/>
                  </a:gs>
                  <a:gs pos="20000">
                    <a:srgbClr val="3065A4"/>
                  </a:gs>
                  <a:gs pos="100000">
                    <a:srgbClr val="224B7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6A3-49AA-895F-F6BA2F1AF272}"/>
              </c:ext>
            </c:extLst>
          </c:dPt>
          <c:dPt>
            <c:idx val="1"/>
            <c:bubble3D val="0"/>
            <c:spPr>
              <a:gradFill rotWithShape="0">
                <a:gsLst>
                  <a:gs pos="0">
                    <a:srgbClr val="AA2F2C"/>
                  </a:gs>
                  <a:gs pos="20000">
                    <a:srgbClr val="A7312E"/>
                  </a:gs>
                  <a:gs pos="100000">
                    <a:srgbClr val="7F2321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6A3-49AA-895F-F6BA2F1AF272}"/>
              </c:ext>
            </c:extLst>
          </c:dPt>
          <c:dPt>
            <c:idx val="2"/>
            <c:bubble3D val="0"/>
            <c:spPr>
              <a:gradFill rotWithShape="0">
                <a:gsLst>
                  <a:gs pos="0">
                    <a:srgbClr val="80A438"/>
                  </a:gs>
                  <a:gs pos="20000">
                    <a:srgbClr val="7FA13A"/>
                  </a:gs>
                  <a:gs pos="100000">
                    <a:srgbClr val="607A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C6A3-49AA-895F-F6BA2F1AF272}"/>
              </c:ext>
            </c:extLst>
          </c:dPt>
          <c:dPt>
            <c:idx val="3"/>
            <c:bubble3D val="0"/>
            <c:spPr>
              <a:gradFill rotWithShape="0">
                <a:gsLst>
                  <a:gs pos="0">
                    <a:srgbClr val="65468A"/>
                  </a:gs>
                  <a:gs pos="20000">
                    <a:srgbClr val="644788"/>
                  </a:gs>
                  <a:gs pos="100000">
                    <a:srgbClr val="4B346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C6A3-49AA-895F-F6BA2F1AF272}"/>
              </c:ext>
            </c:extLst>
          </c:dPt>
          <c:dPt>
            <c:idx val="4"/>
            <c:bubble3D val="0"/>
            <c:spPr>
              <a:gradFill rotWithShape="0">
                <a:gsLst>
                  <a:gs pos="0">
                    <a:srgbClr val="2994B0"/>
                  </a:gs>
                  <a:gs pos="20000">
                    <a:srgbClr val="2B91AD"/>
                  </a:gs>
                  <a:gs pos="100000">
                    <a:srgbClr val="1F6E83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C6A3-49AA-895F-F6BA2F1AF272}"/>
              </c:ext>
            </c:extLst>
          </c:dPt>
          <c:dPt>
            <c:idx val="5"/>
            <c:bubble3D val="0"/>
            <c:spPr>
              <a:gradFill rotWithShape="0">
                <a:gsLst>
                  <a:gs pos="0">
                    <a:srgbClr val="E0751D"/>
                  </a:gs>
                  <a:gs pos="20000">
                    <a:srgbClr val="DB7521"/>
                  </a:gs>
                  <a:gs pos="100000">
                    <a:srgbClr val="A85816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C6A3-49AA-895F-F6BA2F1AF272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C6A3-49AA-895F-F6BA2F1AF272}"/>
              </c:ext>
            </c:extLst>
          </c:dPt>
          <c:dPt>
            <c:idx val="7"/>
            <c:bubble3D val="0"/>
            <c:spPr>
              <a:gradFill rotWithShape="0">
                <a:gsLst>
                  <a:gs pos="0">
                    <a:srgbClr val="CE3B37"/>
                  </a:gs>
                  <a:gs pos="20000">
                    <a:srgbClr val="CB3D3A"/>
                  </a:gs>
                  <a:gs pos="100000">
                    <a:srgbClr val="9B2D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C6A3-49AA-895F-F6BA2F1AF272}"/>
              </c:ext>
            </c:extLst>
          </c:dPt>
          <c:dPt>
            <c:idx val="8"/>
            <c:bubble3D val="0"/>
            <c:spPr>
              <a:gradFill rotWithShape="0">
                <a:gsLst>
                  <a:gs pos="0">
                    <a:srgbClr val="DB9D9D"/>
                  </a:gs>
                  <a:gs pos="20000">
                    <a:srgbClr val="D99E9D"/>
                  </a:gs>
                  <a:gs pos="100000">
                    <a:srgbClr val="A6787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C6A3-49AA-895F-F6BA2F1AF272}"/>
              </c:ext>
            </c:extLst>
          </c:dPt>
          <c:dPt>
            <c:idx val="9"/>
            <c:bubble3D val="0"/>
            <c:spPr>
              <a:gradFill rotWithShape="0">
                <a:gsLst>
                  <a:gs pos="0">
                    <a:srgbClr val="9CC746"/>
                  </a:gs>
                  <a:gs pos="20000">
                    <a:srgbClr val="9BC348"/>
                  </a:gs>
                  <a:gs pos="100000">
                    <a:srgbClr val="769535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C6A3-49AA-895F-F6BA2F1AF272}"/>
              </c:ext>
            </c:extLst>
          </c:dPt>
          <c:dPt>
            <c:idx val="10"/>
            <c:bubble3D val="0"/>
            <c:spPr>
              <a:gradFill rotWithShape="0">
                <a:gsLst>
                  <a:gs pos="0">
                    <a:srgbClr val="7B57A8"/>
                  </a:gs>
                  <a:gs pos="20000">
                    <a:srgbClr val="7B58A6"/>
                  </a:gs>
                  <a:gs pos="100000">
                    <a:srgbClr val="5D417E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C6A3-49AA-895F-F6BA2F1AF272}"/>
              </c:ext>
            </c:extLst>
          </c:dPt>
          <c:dPt>
            <c:idx val="11"/>
            <c:bubble3D val="0"/>
            <c:spPr>
              <a:gradFill rotWithShape="0">
                <a:gsLst>
                  <a:gs pos="0">
                    <a:srgbClr val="34B3D6"/>
                  </a:gs>
                  <a:gs pos="20000">
                    <a:srgbClr val="36B1D2"/>
                  </a:gs>
                  <a:gs pos="100000">
                    <a:srgbClr val="2787A0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C6A3-49AA-895F-F6BA2F1AF272}"/>
              </c:ext>
            </c:extLst>
          </c:dPt>
          <c:dPt>
            <c:idx val="12"/>
            <c:bubble3D val="0"/>
            <c:spPr>
              <a:gradFill rotWithShape="0">
                <a:gsLst>
                  <a:gs pos="0">
                    <a:srgbClr val="FF8F26"/>
                  </a:gs>
                  <a:gs pos="20000">
                    <a:srgbClr val="FF8F2A"/>
                  </a:gs>
                  <a:gs pos="100000">
                    <a:srgbClr val="CB6C1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8-C6A3-49AA-895F-F6BA2F1AF272}"/>
              </c:ext>
            </c:extLst>
          </c:dPt>
          <c:dPt>
            <c:idx val="13"/>
            <c:bubble3D val="0"/>
            <c:spPr>
              <a:gradFill rotWithShape="0">
                <a:gsLst>
                  <a:gs pos="0">
                    <a:srgbClr val="9DB3D9"/>
                  </a:gs>
                  <a:gs pos="20000">
                    <a:srgbClr val="9EB3D7"/>
                  </a:gs>
                  <a:gs pos="100000">
                    <a:srgbClr val="7888A4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A-C6A3-49AA-895F-F6BA2F1AF272}"/>
              </c:ext>
            </c:extLst>
          </c:dPt>
          <c:dPt>
            <c:idx val="14"/>
            <c:bubble3D val="0"/>
            <c:spPr>
              <a:gradFill rotWithShape="0">
                <a:gsLst>
                  <a:gs pos="0">
                    <a:srgbClr val="C2D7A1"/>
                  </a:gs>
                  <a:gs pos="20000">
                    <a:srgbClr val="C1D5A1"/>
                  </a:gs>
                  <a:gs pos="100000">
                    <a:srgbClr val="93A37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C-C6A3-49AA-895F-F6BA2F1AF272}"/>
              </c:ext>
            </c:extLst>
          </c:dPt>
          <c:dPt>
            <c:idx val="15"/>
            <c:bubble3D val="0"/>
            <c:spPr>
              <a:gradFill rotWithShape="0">
                <a:gsLst>
                  <a:gs pos="0">
                    <a:srgbClr val="B4A7C8"/>
                  </a:gs>
                  <a:gs pos="20000">
                    <a:srgbClr val="B3A6C6"/>
                  </a:gs>
                  <a:gs pos="100000">
                    <a:srgbClr val="887E9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E-C6A3-49AA-895F-F6BA2F1AF272}"/>
              </c:ext>
            </c:extLst>
          </c:dPt>
          <c:dPt>
            <c:idx val="16"/>
            <c:bubble3D val="0"/>
            <c:spPr>
              <a:gradFill rotWithShape="0">
                <a:gsLst>
                  <a:gs pos="0">
                    <a:srgbClr val="9BCDDF"/>
                  </a:gs>
                  <a:gs pos="20000">
                    <a:srgbClr val="9CCBDD"/>
                  </a:gs>
                  <a:gs pos="100000">
                    <a:srgbClr val="769BA9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0-C6A3-49AA-895F-F6BA2F1AF272}"/>
              </c:ext>
            </c:extLst>
          </c:dPt>
          <c:dLbls>
            <c:dLbl>
              <c:idx val="2"/>
              <c:layout>
                <c:manualLayout>
                  <c:x val="2.16640419947507E-3"/>
                  <c:y val="6.905741816491959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6A3-49AA-895F-F6BA2F1AF272}"/>
                </c:ext>
              </c:extLst>
            </c:dLbl>
            <c:dLbl>
              <c:idx val="5"/>
              <c:layout>
                <c:manualLayout>
                  <c:x val="-1.1669291338582701E-3"/>
                  <c:y val="-3.037117064191870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6A3-49AA-895F-F6BA2F1AF272}"/>
                </c:ext>
              </c:extLst>
            </c:dLbl>
            <c:dLbl>
              <c:idx val="6"/>
              <c:layout>
                <c:manualLayout>
                  <c:x val="7.8719160104986904E-2"/>
                  <c:y val="9.850510346188319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6A3-49AA-895F-F6BA2F1AF272}"/>
                </c:ext>
              </c:extLst>
            </c:dLbl>
            <c:dLbl>
              <c:idx val="10"/>
              <c:layout>
                <c:manualLayout>
                  <c:x val="9.2958923884514405E-2"/>
                  <c:y val="8.108238416471119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C6A3-49AA-895F-F6BA2F1AF272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'2025'!$C$13:$C$28</c:f>
              <c:strCache>
                <c:ptCount val="16"/>
                <c:pt idx="0">
                  <c:v>Zakelijk verkeer: personenvervoer</c:v>
                </c:pt>
                <c:pt idx="1">
                  <c:v>Zakelijk verkeer: bedrijfsbusjes</c:v>
                </c:pt>
                <c:pt idx="2">
                  <c:v>Zakelijk verkeer: vrachtverkeer</c:v>
                </c:pt>
                <c:pt idx="3">
                  <c:v>Overige energiedragers</c:v>
                </c:pt>
                <c:pt idx="4">
                  <c:v>Verwarming, gas</c:v>
                </c:pt>
                <c:pt idx="7">
                  <c:v>Elektriciteitsverbruik</c:v>
                </c:pt>
                <c:pt idx="8">
                  <c:v>Zakelijk verkeer: electr. wagenpark</c:v>
                </c:pt>
                <c:pt idx="9">
                  <c:v>Overige energie: stadswarmte</c:v>
                </c:pt>
                <c:pt idx="12">
                  <c:v>Zakelijk verkeer: priveauto's</c:v>
                </c:pt>
                <c:pt idx="13">
                  <c:v>Zakelijk verkeer: OV</c:v>
                </c:pt>
                <c:pt idx="14">
                  <c:v>Personenvervoer vliegtuig</c:v>
                </c:pt>
                <c:pt idx="15">
                  <c:v>Anders namelijk…</c:v>
                </c:pt>
              </c:strCache>
            </c:strRef>
          </c:cat>
          <c:val>
            <c:numRef>
              <c:f>'2025'!$F$13:$F$28</c:f>
              <c:numCache>
                <c:formatCode>0.00</c:formatCode>
                <c:ptCount val="16"/>
                <c:pt idx="0">
                  <c:v>0</c:v>
                </c:pt>
                <c:pt idx="1">
                  <c:v>589.18410100000006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C6A3-49AA-895F-F6BA2F1AF2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egendEntry>
        <c:idx val="4"/>
        <c:delete val="1"/>
      </c:legendEntry>
      <c:legendEntry>
        <c:idx val="5"/>
        <c:delete val="1"/>
      </c:legendEntry>
      <c:legendEntry>
        <c:idx val="9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0.56661901637295342"/>
          <c:y val="1.4285755398996179E-2"/>
          <c:w val="0.35691601049868765"/>
          <c:h val="0.9715974236773036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1" l="0.75" r="0.7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22725695323369"/>
          <c:y val="6.2547823116368098E-2"/>
          <c:w val="0.55266990202020605"/>
          <c:h val="0.87490435376726305"/>
        </c:manualLayout>
      </c:layout>
      <c:pieChart>
        <c:varyColors val="1"/>
        <c:ser>
          <c:idx val="0"/>
          <c:order val="0"/>
          <c:tx>
            <c:strRef>
              <c:f>'2025 project'!$F$12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0699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51F-4C26-80A9-75F9BC5179C1}"/>
              </c:ext>
            </c:extLst>
          </c:dPt>
          <c:dPt>
            <c:idx val="1"/>
            <c:bubble3D val="0"/>
            <c:spPr>
              <a:solidFill>
                <a:srgbClr val="9E41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51F-4C26-80A9-75F9BC5179C1}"/>
              </c:ext>
            </c:extLst>
          </c:dPt>
          <c:dPt>
            <c:idx val="2"/>
            <c:bubble3D val="0"/>
            <c:spPr>
              <a:solidFill>
                <a:srgbClr val="7F9A4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51F-4C26-80A9-75F9BC5179C1}"/>
              </c:ext>
            </c:extLst>
          </c:dPt>
          <c:dPt>
            <c:idx val="3"/>
            <c:bubble3D val="0"/>
            <c:spPr>
              <a:solidFill>
                <a:srgbClr val="69518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51F-4C26-80A9-75F9BC5179C1}"/>
              </c:ext>
            </c:extLst>
          </c:dPt>
          <c:dPt>
            <c:idx val="4"/>
            <c:bubble3D val="0"/>
            <c:spPr>
              <a:solidFill>
                <a:srgbClr val="3C8DA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51F-4C26-80A9-75F9BC5179C1}"/>
              </c:ext>
            </c:extLst>
          </c:dPt>
          <c:dPt>
            <c:idx val="5"/>
            <c:bubble3D val="0"/>
            <c:spPr>
              <a:solidFill>
                <a:srgbClr val="CC7B3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51F-4C26-80A9-75F9BC5179C1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651F-4C26-80A9-75F9BC5179C1}"/>
              </c:ext>
            </c:extLst>
          </c:dPt>
          <c:dPt>
            <c:idx val="7"/>
            <c:bubble3D val="0"/>
            <c:spPr>
              <a:solidFill>
                <a:srgbClr val="C0504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E-651F-4C26-80A9-75F9BC5179C1}"/>
              </c:ext>
            </c:extLst>
          </c:dPt>
          <c:dPt>
            <c:idx val="8"/>
            <c:bubble3D val="0"/>
            <c:spPr>
              <a:solidFill>
                <a:srgbClr val="9BBB5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0-651F-4C26-80A9-75F9BC5179C1}"/>
              </c:ext>
            </c:extLst>
          </c:dPt>
          <c:dPt>
            <c:idx val="10"/>
            <c:bubble3D val="0"/>
            <c:spPr>
              <a:solidFill>
                <a:srgbClr val="8064A2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2-651F-4C26-80A9-75F9BC5179C1}"/>
              </c:ext>
            </c:extLst>
          </c:dPt>
          <c:dPt>
            <c:idx val="11"/>
            <c:bubble3D val="0"/>
            <c:spPr>
              <a:solidFill>
                <a:srgbClr val="4BACC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4-651F-4C26-80A9-75F9BC5179C1}"/>
              </c:ext>
            </c:extLst>
          </c:dPt>
          <c:dPt>
            <c:idx val="12"/>
            <c:bubble3D val="0"/>
            <c:spPr>
              <a:solidFill>
                <a:srgbClr val="F7964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6-651F-4C26-80A9-75F9BC5179C1}"/>
              </c:ext>
            </c:extLst>
          </c:dPt>
          <c:dPt>
            <c:idx val="13"/>
            <c:bubble3D val="0"/>
            <c:spPr>
              <a:solidFill>
                <a:srgbClr val="AABA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651F-4C26-80A9-75F9BC5179C1}"/>
              </c:ext>
            </c:extLst>
          </c:dPt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'2025 project'!$B$12:$B$24</c:f>
              <c:strCache>
                <c:ptCount val="13"/>
                <c:pt idx="0">
                  <c:v>Scope 1</c:v>
                </c:pt>
                <c:pt idx="7">
                  <c:v>Scope 2</c:v>
                </c:pt>
                <c:pt idx="12">
                  <c:v>Business travel - scope 3</c:v>
                </c:pt>
              </c:strCache>
            </c:strRef>
          </c:cat>
          <c:val>
            <c:numRef>
              <c:f>'2025 project'!$G$12:$G$24</c:f>
              <c:numCache>
                <c:formatCode>General</c:formatCode>
                <c:ptCount val="13"/>
                <c:pt idx="0" formatCode="0.00">
                  <c:v>58.918410100000003</c:v>
                </c:pt>
                <c:pt idx="7" formatCode="0.00">
                  <c:v>0</c:v>
                </c:pt>
                <c:pt idx="12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651F-4C26-80A9-75F9BC5179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50000000000001" l="0.70000000000000095" r="0.70000000000000095" t="0.750000000000001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285763582853203E-2"/>
          <c:y val="0.13388713469478999"/>
          <c:w val="0.41250009027342299"/>
          <c:h val="0.77731244709928804"/>
        </c:manualLayout>
      </c:layout>
      <c:pieChart>
        <c:varyColors val="1"/>
        <c:ser>
          <c:idx val="0"/>
          <c:order val="0"/>
          <c:spPr>
            <a:gradFill rotWithShape="0">
              <a:gsLst>
                <a:gs pos="0">
                  <a:srgbClr val="3A7CCB"/>
                </a:gs>
                <a:gs pos="20000">
                  <a:srgbClr val="3C7BC7"/>
                </a:gs>
                <a:gs pos="100000">
                  <a:srgbClr val="2C5D98"/>
                </a:gs>
              </a:gsLst>
              <a:lin ang="5400000"/>
            </a:gra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dPt>
            <c:idx val="0"/>
            <c:bubble3D val="0"/>
            <c:spPr>
              <a:gradFill rotWithShape="0">
                <a:gsLst>
                  <a:gs pos="0">
                    <a:srgbClr val="2E65A7"/>
                  </a:gs>
                  <a:gs pos="20000">
                    <a:srgbClr val="3065A4"/>
                  </a:gs>
                  <a:gs pos="100000">
                    <a:srgbClr val="224B7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80E-4322-9FC6-F9717715CD9D}"/>
              </c:ext>
            </c:extLst>
          </c:dPt>
          <c:dPt>
            <c:idx val="1"/>
            <c:bubble3D val="0"/>
            <c:spPr>
              <a:gradFill rotWithShape="0">
                <a:gsLst>
                  <a:gs pos="0">
                    <a:srgbClr val="AA2F2C"/>
                  </a:gs>
                  <a:gs pos="20000">
                    <a:srgbClr val="A7312E"/>
                  </a:gs>
                  <a:gs pos="100000">
                    <a:srgbClr val="7F2321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80E-4322-9FC6-F9717715CD9D}"/>
              </c:ext>
            </c:extLst>
          </c:dPt>
          <c:dPt>
            <c:idx val="2"/>
            <c:bubble3D val="0"/>
            <c:spPr>
              <a:gradFill rotWithShape="0">
                <a:gsLst>
                  <a:gs pos="0">
                    <a:srgbClr val="80A438"/>
                  </a:gs>
                  <a:gs pos="20000">
                    <a:srgbClr val="7FA13A"/>
                  </a:gs>
                  <a:gs pos="100000">
                    <a:srgbClr val="607A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80E-4322-9FC6-F9717715CD9D}"/>
              </c:ext>
            </c:extLst>
          </c:dPt>
          <c:dPt>
            <c:idx val="3"/>
            <c:bubble3D val="0"/>
            <c:spPr>
              <a:gradFill rotWithShape="0">
                <a:gsLst>
                  <a:gs pos="0">
                    <a:srgbClr val="65468A"/>
                  </a:gs>
                  <a:gs pos="20000">
                    <a:srgbClr val="644788"/>
                  </a:gs>
                  <a:gs pos="100000">
                    <a:srgbClr val="4B346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A80E-4322-9FC6-F9717715CD9D}"/>
              </c:ext>
            </c:extLst>
          </c:dPt>
          <c:dPt>
            <c:idx val="4"/>
            <c:bubble3D val="0"/>
            <c:spPr>
              <a:gradFill rotWithShape="0">
                <a:gsLst>
                  <a:gs pos="0">
                    <a:srgbClr val="2994B0"/>
                  </a:gs>
                  <a:gs pos="20000">
                    <a:srgbClr val="2B91AD"/>
                  </a:gs>
                  <a:gs pos="100000">
                    <a:srgbClr val="1F6E83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A80E-4322-9FC6-F9717715CD9D}"/>
              </c:ext>
            </c:extLst>
          </c:dPt>
          <c:dPt>
            <c:idx val="5"/>
            <c:bubble3D val="0"/>
            <c:spPr>
              <a:gradFill rotWithShape="0">
                <a:gsLst>
                  <a:gs pos="0">
                    <a:srgbClr val="E0751D"/>
                  </a:gs>
                  <a:gs pos="20000">
                    <a:srgbClr val="DB7521"/>
                  </a:gs>
                  <a:gs pos="100000">
                    <a:srgbClr val="A85816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A80E-4322-9FC6-F9717715CD9D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A80E-4322-9FC6-F9717715CD9D}"/>
              </c:ext>
            </c:extLst>
          </c:dPt>
          <c:dPt>
            <c:idx val="7"/>
            <c:bubble3D val="0"/>
            <c:spPr>
              <a:gradFill rotWithShape="0">
                <a:gsLst>
                  <a:gs pos="0">
                    <a:srgbClr val="CE3B37"/>
                  </a:gs>
                  <a:gs pos="20000">
                    <a:srgbClr val="CB3D3A"/>
                  </a:gs>
                  <a:gs pos="100000">
                    <a:srgbClr val="9B2D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A80E-4322-9FC6-F9717715CD9D}"/>
              </c:ext>
            </c:extLst>
          </c:dPt>
          <c:dPt>
            <c:idx val="8"/>
            <c:bubble3D val="0"/>
            <c:spPr>
              <a:gradFill rotWithShape="0">
                <a:gsLst>
                  <a:gs pos="0">
                    <a:srgbClr val="DB9D9D"/>
                  </a:gs>
                  <a:gs pos="20000">
                    <a:srgbClr val="D99E9D"/>
                  </a:gs>
                  <a:gs pos="100000">
                    <a:srgbClr val="A6787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A80E-4322-9FC6-F9717715CD9D}"/>
              </c:ext>
            </c:extLst>
          </c:dPt>
          <c:dPt>
            <c:idx val="9"/>
            <c:bubble3D val="0"/>
            <c:spPr>
              <a:gradFill rotWithShape="0">
                <a:gsLst>
                  <a:gs pos="0">
                    <a:srgbClr val="9CC746"/>
                  </a:gs>
                  <a:gs pos="20000">
                    <a:srgbClr val="9BC348"/>
                  </a:gs>
                  <a:gs pos="100000">
                    <a:srgbClr val="769535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A80E-4322-9FC6-F9717715CD9D}"/>
              </c:ext>
            </c:extLst>
          </c:dPt>
          <c:dPt>
            <c:idx val="10"/>
            <c:bubble3D val="0"/>
            <c:spPr>
              <a:gradFill rotWithShape="0">
                <a:gsLst>
                  <a:gs pos="0">
                    <a:srgbClr val="7B57A8"/>
                  </a:gs>
                  <a:gs pos="20000">
                    <a:srgbClr val="7B58A6"/>
                  </a:gs>
                  <a:gs pos="100000">
                    <a:srgbClr val="5D417E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A80E-4322-9FC6-F9717715CD9D}"/>
              </c:ext>
            </c:extLst>
          </c:dPt>
          <c:dPt>
            <c:idx val="11"/>
            <c:bubble3D val="0"/>
            <c:spPr>
              <a:gradFill rotWithShape="0">
                <a:gsLst>
                  <a:gs pos="0">
                    <a:srgbClr val="34B3D6"/>
                  </a:gs>
                  <a:gs pos="20000">
                    <a:srgbClr val="36B1D2"/>
                  </a:gs>
                  <a:gs pos="100000">
                    <a:srgbClr val="2787A0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A80E-4322-9FC6-F9717715CD9D}"/>
              </c:ext>
            </c:extLst>
          </c:dPt>
          <c:dPt>
            <c:idx val="12"/>
            <c:bubble3D val="0"/>
            <c:spPr>
              <a:gradFill rotWithShape="0">
                <a:gsLst>
                  <a:gs pos="0">
                    <a:srgbClr val="FF8F26"/>
                  </a:gs>
                  <a:gs pos="20000">
                    <a:srgbClr val="FF8F2A"/>
                  </a:gs>
                  <a:gs pos="100000">
                    <a:srgbClr val="CB6C1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8-A80E-4322-9FC6-F9717715CD9D}"/>
              </c:ext>
            </c:extLst>
          </c:dPt>
          <c:dPt>
            <c:idx val="13"/>
            <c:bubble3D val="0"/>
            <c:spPr>
              <a:gradFill rotWithShape="0">
                <a:gsLst>
                  <a:gs pos="0">
                    <a:srgbClr val="9DB3D9"/>
                  </a:gs>
                  <a:gs pos="20000">
                    <a:srgbClr val="9EB3D7"/>
                  </a:gs>
                  <a:gs pos="100000">
                    <a:srgbClr val="7888A4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A-A80E-4322-9FC6-F9717715CD9D}"/>
              </c:ext>
            </c:extLst>
          </c:dPt>
          <c:dPt>
            <c:idx val="14"/>
            <c:bubble3D val="0"/>
            <c:spPr>
              <a:gradFill rotWithShape="0">
                <a:gsLst>
                  <a:gs pos="0">
                    <a:srgbClr val="C2D7A1"/>
                  </a:gs>
                  <a:gs pos="20000">
                    <a:srgbClr val="C1D5A1"/>
                  </a:gs>
                  <a:gs pos="100000">
                    <a:srgbClr val="93A37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C-A80E-4322-9FC6-F9717715CD9D}"/>
              </c:ext>
            </c:extLst>
          </c:dPt>
          <c:dPt>
            <c:idx val="15"/>
            <c:bubble3D val="0"/>
            <c:spPr>
              <a:gradFill rotWithShape="0">
                <a:gsLst>
                  <a:gs pos="0">
                    <a:srgbClr val="B4A7C8"/>
                  </a:gs>
                  <a:gs pos="20000">
                    <a:srgbClr val="B3A6C6"/>
                  </a:gs>
                  <a:gs pos="100000">
                    <a:srgbClr val="887E9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E-A80E-4322-9FC6-F9717715CD9D}"/>
              </c:ext>
            </c:extLst>
          </c:dPt>
          <c:dPt>
            <c:idx val="16"/>
            <c:bubble3D val="0"/>
            <c:spPr>
              <a:gradFill rotWithShape="0">
                <a:gsLst>
                  <a:gs pos="0">
                    <a:srgbClr val="9BCDDF"/>
                  </a:gs>
                  <a:gs pos="20000">
                    <a:srgbClr val="9CCBDD"/>
                  </a:gs>
                  <a:gs pos="100000">
                    <a:srgbClr val="769BA9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0-A80E-4322-9FC6-F9717715CD9D}"/>
              </c:ext>
            </c:extLst>
          </c:dPt>
          <c:dLbls>
            <c:dLbl>
              <c:idx val="2"/>
              <c:layout>
                <c:manualLayout>
                  <c:x val="2.16640419947507E-3"/>
                  <c:y val="6.905741816491959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0E-4322-9FC6-F9717715CD9D}"/>
                </c:ext>
              </c:extLst>
            </c:dLbl>
            <c:dLbl>
              <c:idx val="5"/>
              <c:layout>
                <c:manualLayout>
                  <c:x val="-1.1669291338582701E-3"/>
                  <c:y val="-3.037117064191870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0E-4322-9FC6-F9717715CD9D}"/>
                </c:ext>
              </c:extLst>
            </c:dLbl>
            <c:dLbl>
              <c:idx val="6"/>
              <c:layout>
                <c:manualLayout>
                  <c:x val="7.8719160104986904E-2"/>
                  <c:y val="9.850510346188319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0E-4322-9FC6-F9717715CD9D}"/>
                </c:ext>
              </c:extLst>
            </c:dLbl>
            <c:dLbl>
              <c:idx val="10"/>
              <c:layout>
                <c:manualLayout>
                  <c:x val="9.2958923884514405E-2"/>
                  <c:y val="8.108238416471119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A80E-4322-9FC6-F9717715CD9D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'2025 project'!$C$13:$C$28</c:f>
              <c:strCache>
                <c:ptCount val="16"/>
                <c:pt idx="0">
                  <c:v>Zakelijk verkeer: personenvervoer</c:v>
                </c:pt>
                <c:pt idx="1">
                  <c:v>Zakelijk verkeer: bedrijfsbusjes</c:v>
                </c:pt>
                <c:pt idx="2">
                  <c:v>Zakelijk verkeer: vrachtverkeer</c:v>
                </c:pt>
                <c:pt idx="3">
                  <c:v>Overige energiedragers</c:v>
                </c:pt>
                <c:pt idx="4">
                  <c:v>Verwarming, gas</c:v>
                </c:pt>
                <c:pt idx="7">
                  <c:v>Elektriciteitsverbruik</c:v>
                </c:pt>
                <c:pt idx="8">
                  <c:v>Zakelijk verkeer: electr. wagenpark</c:v>
                </c:pt>
                <c:pt idx="9">
                  <c:v>Overige energie: stadswarmte</c:v>
                </c:pt>
                <c:pt idx="12">
                  <c:v>Zakelijk verkeer: priveauto's</c:v>
                </c:pt>
                <c:pt idx="13">
                  <c:v>Zakelijk verkeer: OV</c:v>
                </c:pt>
                <c:pt idx="14">
                  <c:v>Personenvervoer vliegtuig</c:v>
                </c:pt>
                <c:pt idx="15">
                  <c:v>Anders namelijk…</c:v>
                </c:pt>
              </c:strCache>
            </c:strRef>
          </c:cat>
          <c:val>
            <c:numRef>
              <c:f>'2025 project'!$F$13:$F$28</c:f>
              <c:numCache>
                <c:formatCode>0.00</c:formatCode>
                <c:ptCount val="16"/>
                <c:pt idx="0">
                  <c:v>0</c:v>
                </c:pt>
                <c:pt idx="1">
                  <c:v>58.918410100000003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A80E-4322-9FC6-F9717715C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egendEntry>
        <c:idx val="4"/>
        <c:delete val="1"/>
      </c:legendEntry>
      <c:legendEntry>
        <c:idx val="5"/>
        <c:delete val="1"/>
      </c:legendEntry>
      <c:legendEntry>
        <c:idx val="9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0.56661901637295342"/>
          <c:y val="1.4285755398996179E-2"/>
          <c:w val="0.35691601049868765"/>
          <c:h val="0.97890736519777144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1" l="0.75" r="0.75" t="1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22725695323369"/>
          <c:y val="6.2547823116368098E-2"/>
          <c:w val="0.55266990202020605"/>
          <c:h val="0.87490435376726305"/>
        </c:manualLayout>
      </c:layout>
      <c:pieChart>
        <c:varyColors val="1"/>
        <c:ser>
          <c:idx val="0"/>
          <c:order val="0"/>
          <c:tx>
            <c:strRef>
              <c:f>'2026 H1'!$F$12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0699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43D-D24D-B6CF-747A718A7234}"/>
              </c:ext>
            </c:extLst>
          </c:dPt>
          <c:dPt>
            <c:idx val="1"/>
            <c:bubble3D val="0"/>
            <c:spPr>
              <a:solidFill>
                <a:srgbClr val="9E41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43D-D24D-B6CF-747A718A7234}"/>
              </c:ext>
            </c:extLst>
          </c:dPt>
          <c:dPt>
            <c:idx val="2"/>
            <c:bubble3D val="0"/>
            <c:spPr>
              <a:solidFill>
                <a:srgbClr val="7F9A4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43D-D24D-B6CF-747A718A7234}"/>
              </c:ext>
            </c:extLst>
          </c:dPt>
          <c:dPt>
            <c:idx val="3"/>
            <c:bubble3D val="0"/>
            <c:spPr>
              <a:solidFill>
                <a:srgbClr val="69518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43D-D24D-B6CF-747A718A7234}"/>
              </c:ext>
            </c:extLst>
          </c:dPt>
          <c:dPt>
            <c:idx val="4"/>
            <c:bubble3D val="0"/>
            <c:spPr>
              <a:solidFill>
                <a:srgbClr val="3C8DA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43D-D24D-B6CF-747A718A7234}"/>
              </c:ext>
            </c:extLst>
          </c:dPt>
          <c:dPt>
            <c:idx val="5"/>
            <c:bubble3D val="0"/>
            <c:spPr>
              <a:solidFill>
                <a:srgbClr val="CC7B3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43D-D24D-B6CF-747A718A723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043D-D24D-B6CF-747A718A7234}"/>
              </c:ext>
            </c:extLst>
          </c:dPt>
          <c:dPt>
            <c:idx val="7"/>
            <c:bubble3D val="0"/>
            <c:spPr>
              <a:solidFill>
                <a:srgbClr val="C0504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E-043D-D24D-B6CF-747A718A7234}"/>
              </c:ext>
            </c:extLst>
          </c:dPt>
          <c:dPt>
            <c:idx val="8"/>
            <c:bubble3D val="0"/>
            <c:spPr>
              <a:solidFill>
                <a:srgbClr val="9BBB5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0-043D-D24D-B6CF-747A718A7234}"/>
              </c:ext>
            </c:extLst>
          </c:dPt>
          <c:dPt>
            <c:idx val="10"/>
            <c:bubble3D val="0"/>
            <c:spPr>
              <a:solidFill>
                <a:srgbClr val="8064A2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2-043D-D24D-B6CF-747A718A7234}"/>
              </c:ext>
            </c:extLst>
          </c:dPt>
          <c:dPt>
            <c:idx val="11"/>
            <c:bubble3D val="0"/>
            <c:spPr>
              <a:solidFill>
                <a:srgbClr val="4BACC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4-043D-D24D-B6CF-747A718A7234}"/>
              </c:ext>
            </c:extLst>
          </c:dPt>
          <c:dPt>
            <c:idx val="12"/>
            <c:bubble3D val="0"/>
            <c:spPr>
              <a:solidFill>
                <a:srgbClr val="F7964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6-043D-D24D-B6CF-747A718A7234}"/>
              </c:ext>
            </c:extLst>
          </c:dPt>
          <c:dPt>
            <c:idx val="13"/>
            <c:bubble3D val="0"/>
            <c:spPr>
              <a:solidFill>
                <a:srgbClr val="AABA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043D-D24D-B6CF-747A718A7234}"/>
              </c:ext>
            </c:extLst>
          </c:dPt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'2026 H1'!$B$12:$B$24</c:f>
              <c:strCache>
                <c:ptCount val="13"/>
                <c:pt idx="0">
                  <c:v>Scope 1</c:v>
                </c:pt>
                <c:pt idx="7">
                  <c:v>Scope 2</c:v>
                </c:pt>
                <c:pt idx="12">
                  <c:v>Business travel - scope 3</c:v>
                </c:pt>
              </c:strCache>
            </c:strRef>
          </c:cat>
          <c:val>
            <c:numRef>
              <c:f>'2026 H1'!$G$12:$G$24</c:f>
              <c:numCache>
                <c:formatCode>General</c:formatCode>
                <c:ptCount val="13"/>
                <c:pt idx="0" formatCode="0.00">
                  <c:v>0</c:v>
                </c:pt>
                <c:pt idx="7" formatCode="0.00">
                  <c:v>0</c:v>
                </c:pt>
                <c:pt idx="12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043D-D24D-B6CF-747A718A72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50000000000001" l="0.70000000000000095" r="0.70000000000000095" t="0.750000000000001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285763582853203E-2"/>
          <c:y val="0.13388713469478999"/>
          <c:w val="0.41250009027342299"/>
          <c:h val="0.77731244709928804"/>
        </c:manualLayout>
      </c:layout>
      <c:pieChart>
        <c:varyColors val="1"/>
        <c:ser>
          <c:idx val="0"/>
          <c:order val="0"/>
          <c:spPr>
            <a:gradFill rotWithShape="0">
              <a:gsLst>
                <a:gs pos="0">
                  <a:srgbClr val="3A7CCB"/>
                </a:gs>
                <a:gs pos="20000">
                  <a:srgbClr val="3C7BC7"/>
                </a:gs>
                <a:gs pos="100000">
                  <a:srgbClr val="2C5D98"/>
                </a:gs>
              </a:gsLst>
              <a:lin ang="5400000"/>
            </a:gra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dPt>
            <c:idx val="0"/>
            <c:bubble3D val="0"/>
            <c:spPr>
              <a:gradFill rotWithShape="0">
                <a:gsLst>
                  <a:gs pos="0">
                    <a:srgbClr val="2E65A7"/>
                  </a:gs>
                  <a:gs pos="20000">
                    <a:srgbClr val="3065A4"/>
                  </a:gs>
                  <a:gs pos="100000">
                    <a:srgbClr val="224B7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4C4-A14E-8C16-8BD8DB593BCB}"/>
              </c:ext>
            </c:extLst>
          </c:dPt>
          <c:dPt>
            <c:idx val="1"/>
            <c:bubble3D val="0"/>
            <c:spPr>
              <a:gradFill rotWithShape="0">
                <a:gsLst>
                  <a:gs pos="0">
                    <a:srgbClr val="AA2F2C"/>
                  </a:gs>
                  <a:gs pos="20000">
                    <a:srgbClr val="A7312E"/>
                  </a:gs>
                  <a:gs pos="100000">
                    <a:srgbClr val="7F2321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4C4-A14E-8C16-8BD8DB593BCB}"/>
              </c:ext>
            </c:extLst>
          </c:dPt>
          <c:dPt>
            <c:idx val="2"/>
            <c:bubble3D val="0"/>
            <c:spPr>
              <a:gradFill rotWithShape="0">
                <a:gsLst>
                  <a:gs pos="0">
                    <a:srgbClr val="80A438"/>
                  </a:gs>
                  <a:gs pos="20000">
                    <a:srgbClr val="7FA13A"/>
                  </a:gs>
                  <a:gs pos="100000">
                    <a:srgbClr val="607A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4C4-A14E-8C16-8BD8DB593BCB}"/>
              </c:ext>
            </c:extLst>
          </c:dPt>
          <c:dPt>
            <c:idx val="3"/>
            <c:bubble3D val="0"/>
            <c:spPr>
              <a:gradFill rotWithShape="0">
                <a:gsLst>
                  <a:gs pos="0">
                    <a:srgbClr val="65468A"/>
                  </a:gs>
                  <a:gs pos="20000">
                    <a:srgbClr val="644788"/>
                  </a:gs>
                  <a:gs pos="100000">
                    <a:srgbClr val="4B346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E4C4-A14E-8C16-8BD8DB593BCB}"/>
              </c:ext>
            </c:extLst>
          </c:dPt>
          <c:dPt>
            <c:idx val="4"/>
            <c:bubble3D val="0"/>
            <c:spPr>
              <a:gradFill rotWithShape="0">
                <a:gsLst>
                  <a:gs pos="0">
                    <a:srgbClr val="2994B0"/>
                  </a:gs>
                  <a:gs pos="20000">
                    <a:srgbClr val="2B91AD"/>
                  </a:gs>
                  <a:gs pos="100000">
                    <a:srgbClr val="1F6E83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E4C4-A14E-8C16-8BD8DB593BCB}"/>
              </c:ext>
            </c:extLst>
          </c:dPt>
          <c:dPt>
            <c:idx val="5"/>
            <c:bubble3D val="0"/>
            <c:spPr>
              <a:gradFill rotWithShape="0">
                <a:gsLst>
                  <a:gs pos="0">
                    <a:srgbClr val="E0751D"/>
                  </a:gs>
                  <a:gs pos="20000">
                    <a:srgbClr val="DB7521"/>
                  </a:gs>
                  <a:gs pos="100000">
                    <a:srgbClr val="A85816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E4C4-A14E-8C16-8BD8DB593BCB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E4C4-A14E-8C16-8BD8DB593BCB}"/>
              </c:ext>
            </c:extLst>
          </c:dPt>
          <c:dPt>
            <c:idx val="7"/>
            <c:bubble3D val="0"/>
            <c:spPr>
              <a:gradFill rotWithShape="0">
                <a:gsLst>
                  <a:gs pos="0">
                    <a:srgbClr val="CE3B37"/>
                  </a:gs>
                  <a:gs pos="20000">
                    <a:srgbClr val="CB3D3A"/>
                  </a:gs>
                  <a:gs pos="100000">
                    <a:srgbClr val="9B2D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E4C4-A14E-8C16-8BD8DB593BCB}"/>
              </c:ext>
            </c:extLst>
          </c:dPt>
          <c:dPt>
            <c:idx val="8"/>
            <c:bubble3D val="0"/>
            <c:spPr>
              <a:gradFill rotWithShape="0">
                <a:gsLst>
                  <a:gs pos="0">
                    <a:srgbClr val="DB9D9D"/>
                  </a:gs>
                  <a:gs pos="20000">
                    <a:srgbClr val="D99E9D"/>
                  </a:gs>
                  <a:gs pos="100000">
                    <a:srgbClr val="A6787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E4C4-A14E-8C16-8BD8DB593BCB}"/>
              </c:ext>
            </c:extLst>
          </c:dPt>
          <c:dPt>
            <c:idx val="9"/>
            <c:bubble3D val="0"/>
            <c:spPr>
              <a:gradFill rotWithShape="0">
                <a:gsLst>
                  <a:gs pos="0">
                    <a:srgbClr val="9CC746"/>
                  </a:gs>
                  <a:gs pos="20000">
                    <a:srgbClr val="9BC348"/>
                  </a:gs>
                  <a:gs pos="100000">
                    <a:srgbClr val="769535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E4C4-A14E-8C16-8BD8DB593BCB}"/>
              </c:ext>
            </c:extLst>
          </c:dPt>
          <c:dPt>
            <c:idx val="10"/>
            <c:bubble3D val="0"/>
            <c:spPr>
              <a:gradFill rotWithShape="0">
                <a:gsLst>
                  <a:gs pos="0">
                    <a:srgbClr val="7B57A8"/>
                  </a:gs>
                  <a:gs pos="20000">
                    <a:srgbClr val="7B58A6"/>
                  </a:gs>
                  <a:gs pos="100000">
                    <a:srgbClr val="5D417E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E4C4-A14E-8C16-8BD8DB593BCB}"/>
              </c:ext>
            </c:extLst>
          </c:dPt>
          <c:dPt>
            <c:idx val="11"/>
            <c:bubble3D val="0"/>
            <c:spPr>
              <a:gradFill rotWithShape="0">
                <a:gsLst>
                  <a:gs pos="0">
                    <a:srgbClr val="34B3D6"/>
                  </a:gs>
                  <a:gs pos="20000">
                    <a:srgbClr val="36B1D2"/>
                  </a:gs>
                  <a:gs pos="100000">
                    <a:srgbClr val="2787A0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E4C4-A14E-8C16-8BD8DB593BCB}"/>
              </c:ext>
            </c:extLst>
          </c:dPt>
          <c:dPt>
            <c:idx val="12"/>
            <c:bubble3D val="0"/>
            <c:spPr>
              <a:gradFill rotWithShape="0">
                <a:gsLst>
                  <a:gs pos="0">
                    <a:srgbClr val="FF8F26"/>
                  </a:gs>
                  <a:gs pos="20000">
                    <a:srgbClr val="FF8F2A"/>
                  </a:gs>
                  <a:gs pos="100000">
                    <a:srgbClr val="CB6C1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8-E4C4-A14E-8C16-8BD8DB593BCB}"/>
              </c:ext>
            </c:extLst>
          </c:dPt>
          <c:dPt>
            <c:idx val="13"/>
            <c:bubble3D val="0"/>
            <c:spPr>
              <a:gradFill rotWithShape="0">
                <a:gsLst>
                  <a:gs pos="0">
                    <a:srgbClr val="9DB3D9"/>
                  </a:gs>
                  <a:gs pos="20000">
                    <a:srgbClr val="9EB3D7"/>
                  </a:gs>
                  <a:gs pos="100000">
                    <a:srgbClr val="7888A4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A-E4C4-A14E-8C16-8BD8DB593BCB}"/>
              </c:ext>
            </c:extLst>
          </c:dPt>
          <c:dPt>
            <c:idx val="14"/>
            <c:bubble3D val="0"/>
            <c:spPr>
              <a:gradFill rotWithShape="0">
                <a:gsLst>
                  <a:gs pos="0">
                    <a:srgbClr val="C2D7A1"/>
                  </a:gs>
                  <a:gs pos="20000">
                    <a:srgbClr val="C1D5A1"/>
                  </a:gs>
                  <a:gs pos="100000">
                    <a:srgbClr val="93A37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C-E4C4-A14E-8C16-8BD8DB593BCB}"/>
              </c:ext>
            </c:extLst>
          </c:dPt>
          <c:dPt>
            <c:idx val="15"/>
            <c:bubble3D val="0"/>
            <c:spPr>
              <a:gradFill rotWithShape="0">
                <a:gsLst>
                  <a:gs pos="0">
                    <a:srgbClr val="B4A7C8"/>
                  </a:gs>
                  <a:gs pos="20000">
                    <a:srgbClr val="B3A6C6"/>
                  </a:gs>
                  <a:gs pos="100000">
                    <a:srgbClr val="887E9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E-E4C4-A14E-8C16-8BD8DB593BCB}"/>
              </c:ext>
            </c:extLst>
          </c:dPt>
          <c:dPt>
            <c:idx val="16"/>
            <c:bubble3D val="0"/>
            <c:spPr>
              <a:gradFill rotWithShape="0">
                <a:gsLst>
                  <a:gs pos="0">
                    <a:srgbClr val="9BCDDF"/>
                  </a:gs>
                  <a:gs pos="20000">
                    <a:srgbClr val="9CCBDD"/>
                  </a:gs>
                  <a:gs pos="100000">
                    <a:srgbClr val="769BA9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0-E4C4-A14E-8C16-8BD8DB593BCB}"/>
              </c:ext>
            </c:extLst>
          </c:dPt>
          <c:dLbls>
            <c:dLbl>
              <c:idx val="2"/>
              <c:layout>
                <c:manualLayout>
                  <c:x val="2.16640419947507E-3"/>
                  <c:y val="6.905741816491959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4C4-A14E-8C16-8BD8DB593BCB}"/>
                </c:ext>
              </c:extLst>
            </c:dLbl>
            <c:dLbl>
              <c:idx val="5"/>
              <c:layout>
                <c:manualLayout>
                  <c:x val="-1.1669291338582701E-3"/>
                  <c:y val="-3.037117064191870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4C4-A14E-8C16-8BD8DB593BCB}"/>
                </c:ext>
              </c:extLst>
            </c:dLbl>
            <c:dLbl>
              <c:idx val="6"/>
              <c:layout>
                <c:manualLayout>
                  <c:x val="7.8719160104986904E-2"/>
                  <c:y val="9.850510346188319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4C4-A14E-8C16-8BD8DB593BCB}"/>
                </c:ext>
              </c:extLst>
            </c:dLbl>
            <c:dLbl>
              <c:idx val="10"/>
              <c:layout>
                <c:manualLayout>
                  <c:x val="9.2958923884514405E-2"/>
                  <c:y val="8.108238416471119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4C4-A14E-8C16-8BD8DB593BCB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'2026 H1'!$C$13:$C$28</c:f>
              <c:strCache>
                <c:ptCount val="16"/>
                <c:pt idx="0">
                  <c:v>Zakelijk verkeer: personenvervoer</c:v>
                </c:pt>
                <c:pt idx="1">
                  <c:v>Zakelijk verkeer: bedrijfsbusjes</c:v>
                </c:pt>
                <c:pt idx="2">
                  <c:v>Zakelijk verkeer: vrachtverkeer</c:v>
                </c:pt>
                <c:pt idx="3">
                  <c:v>Overige energiedragers</c:v>
                </c:pt>
                <c:pt idx="4">
                  <c:v>Verwarming, gas</c:v>
                </c:pt>
                <c:pt idx="7">
                  <c:v>Elektriciteitsverbruik</c:v>
                </c:pt>
                <c:pt idx="8">
                  <c:v>Zakelijk verkeer: electr. wagenpark</c:v>
                </c:pt>
                <c:pt idx="9">
                  <c:v>Overige energie: stadswarmte</c:v>
                </c:pt>
                <c:pt idx="12">
                  <c:v>Zakelijk verkeer: priveauto's</c:v>
                </c:pt>
                <c:pt idx="13">
                  <c:v>Zakelijk verkeer: OV</c:v>
                </c:pt>
                <c:pt idx="14">
                  <c:v>Personenvervoer vliegtuig</c:v>
                </c:pt>
                <c:pt idx="15">
                  <c:v>Anders namelijk…</c:v>
                </c:pt>
              </c:strCache>
            </c:strRef>
          </c:cat>
          <c:val>
            <c:numRef>
              <c:f>'2026 H1'!$F$13:$F$28</c:f>
              <c:numCache>
                <c:formatCode>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E4C4-A14E-8C16-8BD8DB593B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egendEntry>
        <c:idx val="4"/>
        <c:delete val="1"/>
      </c:legendEntry>
      <c:legendEntry>
        <c:idx val="5"/>
        <c:delete val="1"/>
      </c:legendEntry>
      <c:legendEntry>
        <c:idx val="9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0.56522528433945762"/>
          <c:y val="1.4545344660864759E-2"/>
          <c:w val="0.3572136295463067"/>
          <c:h val="0.97823882212091906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22725695323369"/>
          <c:y val="6.2547823116368098E-2"/>
          <c:w val="0.55266990202020605"/>
          <c:h val="0.87490435376726305"/>
        </c:manualLayout>
      </c:layout>
      <c:pieChart>
        <c:varyColors val="1"/>
        <c:ser>
          <c:idx val="0"/>
          <c:order val="0"/>
          <c:tx>
            <c:strRef>
              <c:f>'2026'!$F$12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0699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35A-3C43-8BB1-2CE6A912DFBB}"/>
              </c:ext>
            </c:extLst>
          </c:dPt>
          <c:dPt>
            <c:idx val="1"/>
            <c:bubble3D val="0"/>
            <c:spPr>
              <a:solidFill>
                <a:srgbClr val="9E41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35A-3C43-8BB1-2CE6A912DFBB}"/>
              </c:ext>
            </c:extLst>
          </c:dPt>
          <c:dPt>
            <c:idx val="2"/>
            <c:bubble3D val="0"/>
            <c:spPr>
              <a:solidFill>
                <a:srgbClr val="7F9A4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35A-3C43-8BB1-2CE6A912DFBB}"/>
              </c:ext>
            </c:extLst>
          </c:dPt>
          <c:dPt>
            <c:idx val="3"/>
            <c:bubble3D val="0"/>
            <c:spPr>
              <a:solidFill>
                <a:srgbClr val="69518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35A-3C43-8BB1-2CE6A912DFBB}"/>
              </c:ext>
            </c:extLst>
          </c:dPt>
          <c:dPt>
            <c:idx val="4"/>
            <c:bubble3D val="0"/>
            <c:spPr>
              <a:solidFill>
                <a:srgbClr val="3C8DA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35A-3C43-8BB1-2CE6A912DFBB}"/>
              </c:ext>
            </c:extLst>
          </c:dPt>
          <c:dPt>
            <c:idx val="5"/>
            <c:bubble3D val="0"/>
            <c:spPr>
              <a:solidFill>
                <a:srgbClr val="CC7B3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35A-3C43-8BB1-2CE6A912DFBB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F35A-3C43-8BB1-2CE6A912DFBB}"/>
              </c:ext>
            </c:extLst>
          </c:dPt>
          <c:dPt>
            <c:idx val="7"/>
            <c:bubble3D val="0"/>
            <c:spPr>
              <a:solidFill>
                <a:srgbClr val="C0504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E-F35A-3C43-8BB1-2CE6A912DFBB}"/>
              </c:ext>
            </c:extLst>
          </c:dPt>
          <c:dPt>
            <c:idx val="8"/>
            <c:bubble3D val="0"/>
            <c:spPr>
              <a:solidFill>
                <a:srgbClr val="9BBB5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0-F35A-3C43-8BB1-2CE6A912DFBB}"/>
              </c:ext>
            </c:extLst>
          </c:dPt>
          <c:dPt>
            <c:idx val="10"/>
            <c:bubble3D val="0"/>
            <c:spPr>
              <a:solidFill>
                <a:srgbClr val="8064A2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2-F35A-3C43-8BB1-2CE6A912DFBB}"/>
              </c:ext>
            </c:extLst>
          </c:dPt>
          <c:dPt>
            <c:idx val="11"/>
            <c:bubble3D val="0"/>
            <c:spPr>
              <a:solidFill>
                <a:srgbClr val="4BACC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4-F35A-3C43-8BB1-2CE6A912DFBB}"/>
              </c:ext>
            </c:extLst>
          </c:dPt>
          <c:dPt>
            <c:idx val="12"/>
            <c:bubble3D val="0"/>
            <c:spPr>
              <a:solidFill>
                <a:srgbClr val="F7964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6-F35A-3C43-8BB1-2CE6A912DFBB}"/>
              </c:ext>
            </c:extLst>
          </c:dPt>
          <c:dPt>
            <c:idx val="13"/>
            <c:bubble3D val="0"/>
            <c:spPr>
              <a:solidFill>
                <a:srgbClr val="AABA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F35A-3C43-8BB1-2CE6A912DFBB}"/>
              </c:ext>
            </c:extLst>
          </c:dPt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'2026'!$B$12:$B$24</c:f>
              <c:strCache>
                <c:ptCount val="13"/>
                <c:pt idx="0">
                  <c:v>Scope 1</c:v>
                </c:pt>
                <c:pt idx="7">
                  <c:v>Scope 2</c:v>
                </c:pt>
                <c:pt idx="12">
                  <c:v>Business travel - scope 3</c:v>
                </c:pt>
              </c:strCache>
            </c:strRef>
          </c:cat>
          <c:val>
            <c:numRef>
              <c:f>'2026'!$G$12:$G$24</c:f>
              <c:numCache>
                <c:formatCode>General</c:formatCode>
                <c:ptCount val="13"/>
                <c:pt idx="0" formatCode="0.00">
                  <c:v>0</c:v>
                </c:pt>
                <c:pt idx="7" formatCode="0.00">
                  <c:v>0</c:v>
                </c:pt>
                <c:pt idx="12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F35A-3C43-8BB1-2CE6A912DF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50000000000001" l="0.70000000000000095" r="0.70000000000000095" t="0.750000000000001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285763582853203E-2"/>
          <c:y val="0.13388713469478999"/>
          <c:w val="0.41250009027342299"/>
          <c:h val="0.77731244709928804"/>
        </c:manualLayout>
      </c:layout>
      <c:pieChart>
        <c:varyColors val="1"/>
        <c:ser>
          <c:idx val="0"/>
          <c:order val="0"/>
          <c:spPr>
            <a:gradFill rotWithShape="0">
              <a:gsLst>
                <a:gs pos="0">
                  <a:srgbClr val="3A7CCB"/>
                </a:gs>
                <a:gs pos="20000">
                  <a:srgbClr val="3C7BC7"/>
                </a:gs>
                <a:gs pos="100000">
                  <a:srgbClr val="2C5D98"/>
                </a:gs>
              </a:gsLst>
              <a:lin ang="5400000"/>
            </a:gra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dPt>
            <c:idx val="0"/>
            <c:bubble3D val="0"/>
            <c:spPr>
              <a:gradFill rotWithShape="0">
                <a:gsLst>
                  <a:gs pos="0">
                    <a:srgbClr val="2E65A7"/>
                  </a:gs>
                  <a:gs pos="20000">
                    <a:srgbClr val="3065A4"/>
                  </a:gs>
                  <a:gs pos="100000">
                    <a:srgbClr val="224B7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E62-4EF6-99F7-EE9FC5130069}"/>
              </c:ext>
            </c:extLst>
          </c:dPt>
          <c:dPt>
            <c:idx val="1"/>
            <c:bubble3D val="0"/>
            <c:spPr>
              <a:gradFill rotWithShape="0">
                <a:gsLst>
                  <a:gs pos="0">
                    <a:srgbClr val="AA2F2C"/>
                  </a:gs>
                  <a:gs pos="20000">
                    <a:srgbClr val="A7312E"/>
                  </a:gs>
                  <a:gs pos="100000">
                    <a:srgbClr val="7F2321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E62-4EF6-99F7-EE9FC5130069}"/>
              </c:ext>
            </c:extLst>
          </c:dPt>
          <c:dPt>
            <c:idx val="2"/>
            <c:bubble3D val="0"/>
            <c:spPr>
              <a:gradFill rotWithShape="0">
                <a:gsLst>
                  <a:gs pos="0">
                    <a:srgbClr val="80A438"/>
                  </a:gs>
                  <a:gs pos="20000">
                    <a:srgbClr val="7FA13A"/>
                  </a:gs>
                  <a:gs pos="100000">
                    <a:srgbClr val="607A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1E62-4EF6-99F7-EE9FC5130069}"/>
              </c:ext>
            </c:extLst>
          </c:dPt>
          <c:dPt>
            <c:idx val="3"/>
            <c:bubble3D val="0"/>
            <c:spPr>
              <a:gradFill rotWithShape="0">
                <a:gsLst>
                  <a:gs pos="0">
                    <a:srgbClr val="65468A"/>
                  </a:gs>
                  <a:gs pos="20000">
                    <a:srgbClr val="644788"/>
                  </a:gs>
                  <a:gs pos="100000">
                    <a:srgbClr val="4B346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1E62-4EF6-99F7-EE9FC5130069}"/>
              </c:ext>
            </c:extLst>
          </c:dPt>
          <c:dPt>
            <c:idx val="4"/>
            <c:bubble3D val="0"/>
            <c:spPr>
              <a:gradFill rotWithShape="0">
                <a:gsLst>
                  <a:gs pos="0">
                    <a:srgbClr val="2994B0"/>
                  </a:gs>
                  <a:gs pos="20000">
                    <a:srgbClr val="2B91AD"/>
                  </a:gs>
                  <a:gs pos="100000">
                    <a:srgbClr val="1F6E83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1E62-4EF6-99F7-EE9FC5130069}"/>
              </c:ext>
            </c:extLst>
          </c:dPt>
          <c:dPt>
            <c:idx val="5"/>
            <c:bubble3D val="0"/>
            <c:spPr>
              <a:gradFill rotWithShape="0">
                <a:gsLst>
                  <a:gs pos="0">
                    <a:srgbClr val="E0751D"/>
                  </a:gs>
                  <a:gs pos="20000">
                    <a:srgbClr val="DB7521"/>
                  </a:gs>
                  <a:gs pos="100000">
                    <a:srgbClr val="A85816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1E62-4EF6-99F7-EE9FC5130069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1E62-4EF6-99F7-EE9FC5130069}"/>
              </c:ext>
            </c:extLst>
          </c:dPt>
          <c:dPt>
            <c:idx val="7"/>
            <c:bubble3D val="0"/>
            <c:spPr>
              <a:gradFill rotWithShape="0">
                <a:gsLst>
                  <a:gs pos="0">
                    <a:srgbClr val="CE3B37"/>
                  </a:gs>
                  <a:gs pos="20000">
                    <a:srgbClr val="CB3D3A"/>
                  </a:gs>
                  <a:gs pos="100000">
                    <a:srgbClr val="9B2D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1E62-4EF6-99F7-EE9FC5130069}"/>
              </c:ext>
            </c:extLst>
          </c:dPt>
          <c:dPt>
            <c:idx val="8"/>
            <c:bubble3D val="0"/>
            <c:spPr>
              <a:gradFill rotWithShape="0">
                <a:gsLst>
                  <a:gs pos="0">
                    <a:srgbClr val="DB9D9D"/>
                  </a:gs>
                  <a:gs pos="20000">
                    <a:srgbClr val="D99E9D"/>
                  </a:gs>
                  <a:gs pos="100000">
                    <a:srgbClr val="A6787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1E62-4EF6-99F7-EE9FC5130069}"/>
              </c:ext>
            </c:extLst>
          </c:dPt>
          <c:dPt>
            <c:idx val="9"/>
            <c:bubble3D val="0"/>
            <c:spPr>
              <a:gradFill rotWithShape="0">
                <a:gsLst>
                  <a:gs pos="0">
                    <a:srgbClr val="9CC746"/>
                  </a:gs>
                  <a:gs pos="20000">
                    <a:srgbClr val="9BC348"/>
                  </a:gs>
                  <a:gs pos="100000">
                    <a:srgbClr val="769535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1E62-4EF6-99F7-EE9FC5130069}"/>
              </c:ext>
            </c:extLst>
          </c:dPt>
          <c:dPt>
            <c:idx val="10"/>
            <c:bubble3D val="0"/>
            <c:spPr>
              <a:gradFill rotWithShape="0">
                <a:gsLst>
                  <a:gs pos="0">
                    <a:srgbClr val="7B57A8"/>
                  </a:gs>
                  <a:gs pos="20000">
                    <a:srgbClr val="7B58A6"/>
                  </a:gs>
                  <a:gs pos="100000">
                    <a:srgbClr val="5D417E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1E62-4EF6-99F7-EE9FC5130069}"/>
              </c:ext>
            </c:extLst>
          </c:dPt>
          <c:dPt>
            <c:idx val="11"/>
            <c:bubble3D val="0"/>
            <c:spPr>
              <a:gradFill rotWithShape="0">
                <a:gsLst>
                  <a:gs pos="0">
                    <a:srgbClr val="34B3D6"/>
                  </a:gs>
                  <a:gs pos="20000">
                    <a:srgbClr val="36B1D2"/>
                  </a:gs>
                  <a:gs pos="100000">
                    <a:srgbClr val="2787A0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1E62-4EF6-99F7-EE9FC5130069}"/>
              </c:ext>
            </c:extLst>
          </c:dPt>
          <c:dPt>
            <c:idx val="12"/>
            <c:bubble3D val="0"/>
            <c:spPr>
              <a:gradFill rotWithShape="0">
                <a:gsLst>
                  <a:gs pos="0">
                    <a:srgbClr val="FF8F26"/>
                  </a:gs>
                  <a:gs pos="20000">
                    <a:srgbClr val="FF8F2A"/>
                  </a:gs>
                  <a:gs pos="100000">
                    <a:srgbClr val="CB6C1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8-1E62-4EF6-99F7-EE9FC5130069}"/>
              </c:ext>
            </c:extLst>
          </c:dPt>
          <c:dPt>
            <c:idx val="13"/>
            <c:bubble3D val="0"/>
            <c:spPr>
              <a:gradFill rotWithShape="0">
                <a:gsLst>
                  <a:gs pos="0">
                    <a:srgbClr val="9DB3D9"/>
                  </a:gs>
                  <a:gs pos="20000">
                    <a:srgbClr val="9EB3D7"/>
                  </a:gs>
                  <a:gs pos="100000">
                    <a:srgbClr val="7888A4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A-1E62-4EF6-99F7-EE9FC5130069}"/>
              </c:ext>
            </c:extLst>
          </c:dPt>
          <c:dPt>
            <c:idx val="14"/>
            <c:bubble3D val="0"/>
            <c:spPr>
              <a:gradFill rotWithShape="0">
                <a:gsLst>
                  <a:gs pos="0">
                    <a:srgbClr val="C2D7A1"/>
                  </a:gs>
                  <a:gs pos="20000">
                    <a:srgbClr val="C1D5A1"/>
                  </a:gs>
                  <a:gs pos="100000">
                    <a:srgbClr val="93A37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C-1E62-4EF6-99F7-EE9FC5130069}"/>
              </c:ext>
            </c:extLst>
          </c:dPt>
          <c:dPt>
            <c:idx val="15"/>
            <c:bubble3D val="0"/>
            <c:spPr>
              <a:gradFill rotWithShape="0">
                <a:gsLst>
                  <a:gs pos="0">
                    <a:srgbClr val="B4A7C8"/>
                  </a:gs>
                  <a:gs pos="20000">
                    <a:srgbClr val="B3A6C6"/>
                  </a:gs>
                  <a:gs pos="100000">
                    <a:srgbClr val="887E9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E-1E62-4EF6-99F7-EE9FC5130069}"/>
              </c:ext>
            </c:extLst>
          </c:dPt>
          <c:dPt>
            <c:idx val="16"/>
            <c:bubble3D val="0"/>
            <c:spPr>
              <a:gradFill rotWithShape="0">
                <a:gsLst>
                  <a:gs pos="0">
                    <a:srgbClr val="9BCDDF"/>
                  </a:gs>
                  <a:gs pos="20000">
                    <a:srgbClr val="9CCBDD"/>
                  </a:gs>
                  <a:gs pos="100000">
                    <a:srgbClr val="769BA9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0-1E62-4EF6-99F7-EE9FC5130069}"/>
              </c:ext>
            </c:extLst>
          </c:dPt>
          <c:dLbls>
            <c:dLbl>
              <c:idx val="2"/>
              <c:layout>
                <c:manualLayout>
                  <c:x val="2.16640419947507E-3"/>
                  <c:y val="6.905741816491959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E62-4EF6-99F7-EE9FC5130069}"/>
                </c:ext>
              </c:extLst>
            </c:dLbl>
            <c:dLbl>
              <c:idx val="5"/>
              <c:layout>
                <c:manualLayout>
                  <c:x val="-1.1669291338582701E-3"/>
                  <c:y val="-3.037117064191870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E62-4EF6-99F7-EE9FC5130069}"/>
                </c:ext>
              </c:extLst>
            </c:dLbl>
            <c:dLbl>
              <c:idx val="6"/>
              <c:layout>
                <c:manualLayout>
                  <c:x val="7.8719160104986904E-2"/>
                  <c:y val="9.850510346188319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E62-4EF6-99F7-EE9FC5130069}"/>
                </c:ext>
              </c:extLst>
            </c:dLbl>
            <c:dLbl>
              <c:idx val="10"/>
              <c:layout>
                <c:manualLayout>
                  <c:x val="9.2958923884514405E-2"/>
                  <c:y val="8.108238416471119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1E62-4EF6-99F7-EE9FC5130069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 H1'!$C$13:$C$28</c:f>
              <c:strCache>
                <c:ptCount val="16"/>
                <c:pt idx="0">
                  <c:v>Zakelijk verkeer: personenvervoer</c:v>
                </c:pt>
                <c:pt idx="1">
                  <c:v>Zakelijk verkeer: bedrijfsbusjes</c:v>
                </c:pt>
                <c:pt idx="2">
                  <c:v>Zakelijk verkeer: vrachtverkeer</c:v>
                </c:pt>
                <c:pt idx="3">
                  <c:v>Overige energiedragers</c:v>
                </c:pt>
                <c:pt idx="4">
                  <c:v>Verwarming, gas</c:v>
                </c:pt>
                <c:pt idx="7">
                  <c:v>Elektriciteitsverbruik</c:v>
                </c:pt>
                <c:pt idx="8">
                  <c:v>Zakelijk verkeer: electr. wagenpark</c:v>
                </c:pt>
                <c:pt idx="9">
                  <c:v>Overige energie: stadswarmte</c:v>
                </c:pt>
                <c:pt idx="12">
                  <c:v>Zakelijk verkeer: priveauto's</c:v>
                </c:pt>
                <c:pt idx="13">
                  <c:v>Zakelijk verkeer: OV</c:v>
                </c:pt>
                <c:pt idx="14">
                  <c:v>Personenvervoer vliegtuig</c:v>
                </c:pt>
                <c:pt idx="15">
                  <c:v>Anders namelijk…</c:v>
                </c:pt>
              </c:strCache>
            </c:strRef>
          </c:cat>
          <c:val>
            <c:numRef>
              <c:f>'2024 H1'!$F$13:$F$28</c:f>
              <c:numCache>
                <c:formatCode>0.00</c:formatCode>
                <c:ptCount val="16"/>
                <c:pt idx="0">
                  <c:v>9.2049230000000009</c:v>
                </c:pt>
                <c:pt idx="1">
                  <c:v>603.19022399999994</c:v>
                </c:pt>
                <c:pt idx="2">
                  <c:v>0</c:v>
                </c:pt>
                <c:pt idx="3">
                  <c:v>0</c:v>
                </c:pt>
                <c:pt idx="4">
                  <c:v>24.378816</c:v>
                </c:pt>
                <c:pt idx="7">
                  <c:v>27.970088000000001</c:v>
                </c:pt>
                <c:pt idx="8">
                  <c:v>0</c:v>
                </c:pt>
                <c:pt idx="9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1E62-4EF6-99F7-EE9FC5130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egendEntry>
        <c:idx val="4"/>
        <c:delete val="1"/>
      </c:legendEntry>
      <c:legendEntry>
        <c:idx val="5"/>
        <c:delete val="1"/>
      </c:legendEntry>
      <c:legendEntry>
        <c:idx val="9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0.5669228846394202"/>
          <c:y val="9.5400492701570201E-3"/>
          <c:w val="0.35742266591676042"/>
          <c:h val="0.98859735460698983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1" l="0.75" r="0.75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285763582853203E-2"/>
          <c:y val="0.13388713469478999"/>
          <c:w val="0.41250009027342299"/>
          <c:h val="0.77731244709928804"/>
        </c:manualLayout>
      </c:layout>
      <c:pieChart>
        <c:varyColors val="1"/>
        <c:ser>
          <c:idx val="0"/>
          <c:order val="0"/>
          <c:spPr>
            <a:gradFill rotWithShape="0">
              <a:gsLst>
                <a:gs pos="0">
                  <a:srgbClr val="3A7CCB"/>
                </a:gs>
                <a:gs pos="20000">
                  <a:srgbClr val="3C7BC7"/>
                </a:gs>
                <a:gs pos="100000">
                  <a:srgbClr val="2C5D98"/>
                </a:gs>
              </a:gsLst>
              <a:lin ang="5400000"/>
            </a:gra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dPt>
            <c:idx val="0"/>
            <c:bubble3D val="0"/>
            <c:spPr>
              <a:gradFill rotWithShape="0">
                <a:gsLst>
                  <a:gs pos="0">
                    <a:srgbClr val="2E65A7"/>
                  </a:gs>
                  <a:gs pos="20000">
                    <a:srgbClr val="3065A4"/>
                  </a:gs>
                  <a:gs pos="100000">
                    <a:srgbClr val="224B7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D86-D34C-AB85-FE274DCC2B29}"/>
              </c:ext>
            </c:extLst>
          </c:dPt>
          <c:dPt>
            <c:idx val="1"/>
            <c:bubble3D val="0"/>
            <c:spPr>
              <a:gradFill rotWithShape="0">
                <a:gsLst>
                  <a:gs pos="0">
                    <a:srgbClr val="AA2F2C"/>
                  </a:gs>
                  <a:gs pos="20000">
                    <a:srgbClr val="A7312E"/>
                  </a:gs>
                  <a:gs pos="100000">
                    <a:srgbClr val="7F2321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D86-D34C-AB85-FE274DCC2B29}"/>
              </c:ext>
            </c:extLst>
          </c:dPt>
          <c:dPt>
            <c:idx val="2"/>
            <c:bubble3D val="0"/>
            <c:spPr>
              <a:gradFill rotWithShape="0">
                <a:gsLst>
                  <a:gs pos="0">
                    <a:srgbClr val="80A438"/>
                  </a:gs>
                  <a:gs pos="20000">
                    <a:srgbClr val="7FA13A"/>
                  </a:gs>
                  <a:gs pos="100000">
                    <a:srgbClr val="607A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D86-D34C-AB85-FE274DCC2B29}"/>
              </c:ext>
            </c:extLst>
          </c:dPt>
          <c:dPt>
            <c:idx val="3"/>
            <c:bubble3D val="0"/>
            <c:spPr>
              <a:gradFill rotWithShape="0">
                <a:gsLst>
                  <a:gs pos="0">
                    <a:srgbClr val="65468A"/>
                  </a:gs>
                  <a:gs pos="20000">
                    <a:srgbClr val="644788"/>
                  </a:gs>
                  <a:gs pos="100000">
                    <a:srgbClr val="4B346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ED86-D34C-AB85-FE274DCC2B29}"/>
              </c:ext>
            </c:extLst>
          </c:dPt>
          <c:dPt>
            <c:idx val="4"/>
            <c:bubble3D val="0"/>
            <c:spPr>
              <a:gradFill rotWithShape="0">
                <a:gsLst>
                  <a:gs pos="0">
                    <a:srgbClr val="2994B0"/>
                  </a:gs>
                  <a:gs pos="20000">
                    <a:srgbClr val="2B91AD"/>
                  </a:gs>
                  <a:gs pos="100000">
                    <a:srgbClr val="1F6E83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ED86-D34C-AB85-FE274DCC2B29}"/>
              </c:ext>
            </c:extLst>
          </c:dPt>
          <c:dPt>
            <c:idx val="5"/>
            <c:bubble3D val="0"/>
            <c:spPr>
              <a:gradFill rotWithShape="0">
                <a:gsLst>
                  <a:gs pos="0">
                    <a:srgbClr val="E0751D"/>
                  </a:gs>
                  <a:gs pos="20000">
                    <a:srgbClr val="DB7521"/>
                  </a:gs>
                  <a:gs pos="100000">
                    <a:srgbClr val="A85816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ED86-D34C-AB85-FE274DCC2B29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ED86-D34C-AB85-FE274DCC2B29}"/>
              </c:ext>
            </c:extLst>
          </c:dPt>
          <c:dPt>
            <c:idx val="7"/>
            <c:bubble3D val="0"/>
            <c:spPr>
              <a:gradFill rotWithShape="0">
                <a:gsLst>
                  <a:gs pos="0">
                    <a:srgbClr val="CE3B37"/>
                  </a:gs>
                  <a:gs pos="20000">
                    <a:srgbClr val="CB3D3A"/>
                  </a:gs>
                  <a:gs pos="100000">
                    <a:srgbClr val="9B2D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ED86-D34C-AB85-FE274DCC2B29}"/>
              </c:ext>
            </c:extLst>
          </c:dPt>
          <c:dPt>
            <c:idx val="8"/>
            <c:bubble3D val="0"/>
            <c:spPr>
              <a:gradFill rotWithShape="0">
                <a:gsLst>
                  <a:gs pos="0">
                    <a:srgbClr val="DB9D9D"/>
                  </a:gs>
                  <a:gs pos="20000">
                    <a:srgbClr val="D99E9D"/>
                  </a:gs>
                  <a:gs pos="100000">
                    <a:srgbClr val="A6787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ED86-D34C-AB85-FE274DCC2B29}"/>
              </c:ext>
            </c:extLst>
          </c:dPt>
          <c:dPt>
            <c:idx val="9"/>
            <c:bubble3D val="0"/>
            <c:spPr>
              <a:gradFill rotWithShape="0">
                <a:gsLst>
                  <a:gs pos="0">
                    <a:srgbClr val="9CC746"/>
                  </a:gs>
                  <a:gs pos="20000">
                    <a:srgbClr val="9BC348"/>
                  </a:gs>
                  <a:gs pos="100000">
                    <a:srgbClr val="769535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ED86-D34C-AB85-FE274DCC2B29}"/>
              </c:ext>
            </c:extLst>
          </c:dPt>
          <c:dPt>
            <c:idx val="10"/>
            <c:bubble3D val="0"/>
            <c:spPr>
              <a:gradFill rotWithShape="0">
                <a:gsLst>
                  <a:gs pos="0">
                    <a:srgbClr val="7B57A8"/>
                  </a:gs>
                  <a:gs pos="20000">
                    <a:srgbClr val="7B58A6"/>
                  </a:gs>
                  <a:gs pos="100000">
                    <a:srgbClr val="5D417E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ED86-D34C-AB85-FE274DCC2B29}"/>
              </c:ext>
            </c:extLst>
          </c:dPt>
          <c:dPt>
            <c:idx val="11"/>
            <c:bubble3D val="0"/>
            <c:spPr>
              <a:gradFill rotWithShape="0">
                <a:gsLst>
                  <a:gs pos="0">
                    <a:srgbClr val="34B3D6"/>
                  </a:gs>
                  <a:gs pos="20000">
                    <a:srgbClr val="36B1D2"/>
                  </a:gs>
                  <a:gs pos="100000">
                    <a:srgbClr val="2787A0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ED86-D34C-AB85-FE274DCC2B29}"/>
              </c:ext>
            </c:extLst>
          </c:dPt>
          <c:dPt>
            <c:idx val="12"/>
            <c:bubble3D val="0"/>
            <c:spPr>
              <a:gradFill rotWithShape="0">
                <a:gsLst>
                  <a:gs pos="0">
                    <a:srgbClr val="FF8F26"/>
                  </a:gs>
                  <a:gs pos="20000">
                    <a:srgbClr val="FF8F2A"/>
                  </a:gs>
                  <a:gs pos="100000">
                    <a:srgbClr val="CB6C1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8-ED86-D34C-AB85-FE274DCC2B29}"/>
              </c:ext>
            </c:extLst>
          </c:dPt>
          <c:dPt>
            <c:idx val="13"/>
            <c:bubble3D val="0"/>
            <c:spPr>
              <a:gradFill rotWithShape="0">
                <a:gsLst>
                  <a:gs pos="0">
                    <a:srgbClr val="9DB3D9"/>
                  </a:gs>
                  <a:gs pos="20000">
                    <a:srgbClr val="9EB3D7"/>
                  </a:gs>
                  <a:gs pos="100000">
                    <a:srgbClr val="7888A4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A-ED86-D34C-AB85-FE274DCC2B29}"/>
              </c:ext>
            </c:extLst>
          </c:dPt>
          <c:dPt>
            <c:idx val="14"/>
            <c:bubble3D val="0"/>
            <c:spPr>
              <a:gradFill rotWithShape="0">
                <a:gsLst>
                  <a:gs pos="0">
                    <a:srgbClr val="C2D7A1"/>
                  </a:gs>
                  <a:gs pos="20000">
                    <a:srgbClr val="C1D5A1"/>
                  </a:gs>
                  <a:gs pos="100000">
                    <a:srgbClr val="93A37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C-ED86-D34C-AB85-FE274DCC2B29}"/>
              </c:ext>
            </c:extLst>
          </c:dPt>
          <c:dPt>
            <c:idx val="15"/>
            <c:bubble3D val="0"/>
            <c:spPr>
              <a:gradFill rotWithShape="0">
                <a:gsLst>
                  <a:gs pos="0">
                    <a:srgbClr val="B4A7C8"/>
                  </a:gs>
                  <a:gs pos="20000">
                    <a:srgbClr val="B3A6C6"/>
                  </a:gs>
                  <a:gs pos="100000">
                    <a:srgbClr val="887E9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E-ED86-D34C-AB85-FE274DCC2B29}"/>
              </c:ext>
            </c:extLst>
          </c:dPt>
          <c:dPt>
            <c:idx val="16"/>
            <c:bubble3D val="0"/>
            <c:spPr>
              <a:gradFill rotWithShape="0">
                <a:gsLst>
                  <a:gs pos="0">
                    <a:srgbClr val="9BCDDF"/>
                  </a:gs>
                  <a:gs pos="20000">
                    <a:srgbClr val="9CCBDD"/>
                  </a:gs>
                  <a:gs pos="100000">
                    <a:srgbClr val="769BA9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0-ED86-D34C-AB85-FE274DCC2B29}"/>
              </c:ext>
            </c:extLst>
          </c:dPt>
          <c:dLbls>
            <c:dLbl>
              <c:idx val="2"/>
              <c:layout>
                <c:manualLayout>
                  <c:x val="2.16640419947507E-3"/>
                  <c:y val="6.905741816491959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D86-D34C-AB85-FE274DCC2B29}"/>
                </c:ext>
              </c:extLst>
            </c:dLbl>
            <c:dLbl>
              <c:idx val="5"/>
              <c:layout>
                <c:manualLayout>
                  <c:x val="-1.1669291338582701E-3"/>
                  <c:y val="-3.037117064191870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D86-D34C-AB85-FE274DCC2B29}"/>
                </c:ext>
              </c:extLst>
            </c:dLbl>
            <c:dLbl>
              <c:idx val="6"/>
              <c:layout>
                <c:manualLayout>
                  <c:x val="7.8719160104986904E-2"/>
                  <c:y val="9.850510346188319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D86-D34C-AB85-FE274DCC2B29}"/>
                </c:ext>
              </c:extLst>
            </c:dLbl>
            <c:dLbl>
              <c:idx val="10"/>
              <c:layout>
                <c:manualLayout>
                  <c:x val="9.2958923884514405E-2"/>
                  <c:y val="8.108238416471119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D86-D34C-AB85-FE274DCC2B29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'2026'!$C$13:$C$28</c:f>
              <c:strCache>
                <c:ptCount val="16"/>
                <c:pt idx="0">
                  <c:v>Zakelijk verkeer: personenvervoer</c:v>
                </c:pt>
                <c:pt idx="1">
                  <c:v>Zakelijk verkeer: bedrijfsbusjes</c:v>
                </c:pt>
                <c:pt idx="2">
                  <c:v>Zakelijk verkeer: vrachtverkeer</c:v>
                </c:pt>
                <c:pt idx="3">
                  <c:v>Overige energiedragers</c:v>
                </c:pt>
                <c:pt idx="4">
                  <c:v>Verwarming, gas</c:v>
                </c:pt>
                <c:pt idx="7">
                  <c:v>Elektriciteitsverbruik</c:v>
                </c:pt>
                <c:pt idx="8">
                  <c:v>Zakelijk verkeer: electr. wagenpark</c:v>
                </c:pt>
                <c:pt idx="9">
                  <c:v>Overige energie: stadswarmte</c:v>
                </c:pt>
                <c:pt idx="12">
                  <c:v>Zakelijk verkeer: priveauto's</c:v>
                </c:pt>
                <c:pt idx="13">
                  <c:v>Zakelijk verkeer: OV</c:v>
                </c:pt>
                <c:pt idx="14">
                  <c:v>Personenvervoer vliegtuig</c:v>
                </c:pt>
                <c:pt idx="15">
                  <c:v>Anders namelijk…</c:v>
                </c:pt>
              </c:strCache>
            </c:strRef>
          </c:cat>
          <c:val>
            <c:numRef>
              <c:f>'2026'!$F$13:$F$28</c:f>
              <c:numCache>
                <c:formatCode>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ED86-D34C-AB85-FE274DCC2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egendEntry>
        <c:idx val="4"/>
        <c:delete val="1"/>
      </c:legendEntry>
      <c:legendEntry>
        <c:idx val="5"/>
        <c:delete val="1"/>
      </c:legendEntry>
      <c:legendEntry>
        <c:idx val="9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0.56661901637295342"/>
          <c:y val="1.4285755398996175E-2"/>
          <c:w val="0.35691601049868765"/>
          <c:h val="0.98256233595800524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22725695323369"/>
          <c:y val="6.2547823116368098E-2"/>
          <c:w val="0.55266990202020605"/>
          <c:h val="0.87490435376726305"/>
        </c:manualLayout>
      </c:layout>
      <c:pieChart>
        <c:varyColors val="1"/>
        <c:ser>
          <c:idx val="0"/>
          <c:order val="0"/>
          <c:tx>
            <c:strRef>
              <c:f>'2026 project'!$F$12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0699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FAA-884C-9434-670097A9B9A0}"/>
              </c:ext>
            </c:extLst>
          </c:dPt>
          <c:dPt>
            <c:idx val="1"/>
            <c:bubble3D val="0"/>
            <c:spPr>
              <a:solidFill>
                <a:srgbClr val="9E41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FAA-884C-9434-670097A9B9A0}"/>
              </c:ext>
            </c:extLst>
          </c:dPt>
          <c:dPt>
            <c:idx val="2"/>
            <c:bubble3D val="0"/>
            <c:spPr>
              <a:solidFill>
                <a:srgbClr val="7F9A4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FAA-884C-9434-670097A9B9A0}"/>
              </c:ext>
            </c:extLst>
          </c:dPt>
          <c:dPt>
            <c:idx val="3"/>
            <c:bubble3D val="0"/>
            <c:spPr>
              <a:solidFill>
                <a:srgbClr val="69518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FAA-884C-9434-670097A9B9A0}"/>
              </c:ext>
            </c:extLst>
          </c:dPt>
          <c:dPt>
            <c:idx val="4"/>
            <c:bubble3D val="0"/>
            <c:spPr>
              <a:solidFill>
                <a:srgbClr val="3C8DA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FAA-884C-9434-670097A9B9A0}"/>
              </c:ext>
            </c:extLst>
          </c:dPt>
          <c:dPt>
            <c:idx val="5"/>
            <c:bubble3D val="0"/>
            <c:spPr>
              <a:solidFill>
                <a:srgbClr val="CC7B3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FAA-884C-9434-670097A9B9A0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8FAA-884C-9434-670097A9B9A0}"/>
              </c:ext>
            </c:extLst>
          </c:dPt>
          <c:dPt>
            <c:idx val="7"/>
            <c:bubble3D val="0"/>
            <c:spPr>
              <a:solidFill>
                <a:srgbClr val="C0504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E-8FAA-884C-9434-670097A9B9A0}"/>
              </c:ext>
            </c:extLst>
          </c:dPt>
          <c:dPt>
            <c:idx val="8"/>
            <c:bubble3D val="0"/>
            <c:spPr>
              <a:solidFill>
                <a:srgbClr val="9BBB5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0-8FAA-884C-9434-670097A9B9A0}"/>
              </c:ext>
            </c:extLst>
          </c:dPt>
          <c:dPt>
            <c:idx val="10"/>
            <c:bubble3D val="0"/>
            <c:spPr>
              <a:solidFill>
                <a:srgbClr val="8064A2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2-8FAA-884C-9434-670097A9B9A0}"/>
              </c:ext>
            </c:extLst>
          </c:dPt>
          <c:dPt>
            <c:idx val="11"/>
            <c:bubble3D val="0"/>
            <c:spPr>
              <a:solidFill>
                <a:srgbClr val="4BACC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4-8FAA-884C-9434-670097A9B9A0}"/>
              </c:ext>
            </c:extLst>
          </c:dPt>
          <c:dPt>
            <c:idx val="12"/>
            <c:bubble3D val="0"/>
            <c:spPr>
              <a:solidFill>
                <a:srgbClr val="F7964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6-8FAA-884C-9434-670097A9B9A0}"/>
              </c:ext>
            </c:extLst>
          </c:dPt>
          <c:dPt>
            <c:idx val="13"/>
            <c:bubble3D val="0"/>
            <c:spPr>
              <a:solidFill>
                <a:srgbClr val="AABA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8FAA-884C-9434-670097A9B9A0}"/>
              </c:ext>
            </c:extLst>
          </c:dPt>
          <c:dLbls>
            <c:dLbl>
              <c:idx val="7"/>
              <c:layout>
                <c:manualLayout>
                  <c:x val="-8.7487095079413477E-2"/>
                  <c:y val="3.178150909616105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FAA-884C-9434-670097A9B9A0}"/>
                </c:ext>
              </c:extLst>
            </c:dLbl>
            <c:dLbl>
              <c:idx val="12"/>
              <c:layout>
                <c:manualLayout>
                  <c:x val="0.17497419015882695"/>
                  <c:y val="0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FAA-884C-9434-670097A9B9A0}"/>
                </c:ext>
              </c:extLst>
            </c:dLbl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'2026 project'!$B$12:$B$24</c:f>
              <c:strCache>
                <c:ptCount val="13"/>
                <c:pt idx="0">
                  <c:v>Scope 1</c:v>
                </c:pt>
                <c:pt idx="7">
                  <c:v>Scope 2</c:v>
                </c:pt>
                <c:pt idx="12">
                  <c:v>Business travel - scope 3</c:v>
                </c:pt>
              </c:strCache>
            </c:strRef>
          </c:cat>
          <c:val>
            <c:numRef>
              <c:f>'2026 project'!$G$12:$G$24</c:f>
              <c:numCache>
                <c:formatCode>General</c:formatCode>
                <c:ptCount val="13"/>
                <c:pt idx="0" formatCode="0.00">
                  <c:v>0</c:v>
                </c:pt>
                <c:pt idx="7" formatCode="0.00">
                  <c:v>0</c:v>
                </c:pt>
                <c:pt idx="12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8FAA-884C-9434-670097A9B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50000000000001" l="0.70000000000000095" r="0.70000000000000095" t="0.750000000000001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285763582853203E-2"/>
          <c:y val="0.13388713469478999"/>
          <c:w val="0.41250009027342299"/>
          <c:h val="0.77731244709928804"/>
        </c:manualLayout>
      </c:layout>
      <c:pieChart>
        <c:varyColors val="1"/>
        <c:ser>
          <c:idx val="0"/>
          <c:order val="0"/>
          <c:spPr>
            <a:gradFill rotWithShape="0">
              <a:gsLst>
                <a:gs pos="0">
                  <a:srgbClr val="3A7CCB"/>
                </a:gs>
                <a:gs pos="20000">
                  <a:srgbClr val="3C7BC7"/>
                </a:gs>
                <a:gs pos="100000">
                  <a:srgbClr val="2C5D98"/>
                </a:gs>
              </a:gsLst>
              <a:lin ang="5400000"/>
            </a:gra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dPt>
            <c:idx val="0"/>
            <c:bubble3D val="0"/>
            <c:spPr>
              <a:gradFill rotWithShape="0">
                <a:gsLst>
                  <a:gs pos="0">
                    <a:srgbClr val="2E65A7"/>
                  </a:gs>
                  <a:gs pos="20000">
                    <a:srgbClr val="3065A4"/>
                  </a:gs>
                  <a:gs pos="100000">
                    <a:srgbClr val="224B7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6DF-F345-B698-7BE9E82C30A2}"/>
              </c:ext>
            </c:extLst>
          </c:dPt>
          <c:dPt>
            <c:idx val="1"/>
            <c:bubble3D val="0"/>
            <c:spPr>
              <a:gradFill rotWithShape="0">
                <a:gsLst>
                  <a:gs pos="0">
                    <a:srgbClr val="AA2F2C"/>
                  </a:gs>
                  <a:gs pos="20000">
                    <a:srgbClr val="A7312E"/>
                  </a:gs>
                  <a:gs pos="100000">
                    <a:srgbClr val="7F2321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6DF-F345-B698-7BE9E82C30A2}"/>
              </c:ext>
            </c:extLst>
          </c:dPt>
          <c:dPt>
            <c:idx val="2"/>
            <c:bubble3D val="0"/>
            <c:spPr>
              <a:gradFill rotWithShape="0">
                <a:gsLst>
                  <a:gs pos="0">
                    <a:srgbClr val="80A438"/>
                  </a:gs>
                  <a:gs pos="20000">
                    <a:srgbClr val="7FA13A"/>
                  </a:gs>
                  <a:gs pos="100000">
                    <a:srgbClr val="607A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76DF-F345-B698-7BE9E82C30A2}"/>
              </c:ext>
            </c:extLst>
          </c:dPt>
          <c:dPt>
            <c:idx val="3"/>
            <c:bubble3D val="0"/>
            <c:spPr>
              <a:gradFill rotWithShape="0">
                <a:gsLst>
                  <a:gs pos="0">
                    <a:srgbClr val="65468A"/>
                  </a:gs>
                  <a:gs pos="20000">
                    <a:srgbClr val="644788"/>
                  </a:gs>
                  <a:gs pos="100000">
                    <a:srgbClr val="4B346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76DF-F345-B698-7BE9E82C30A2}"/>
              </c:ext>
            </c:extLst>
          </c:dPt>
          <c:dPt>
            <c:idx val="4"/>
            <c:bubble3D val="0"/>
            <c:spPr>
              <a:gradFill rotWithShape="0">
                <a:gsLst>
                  <a:gs pos="0">
                    <a:srgbClr val="2994B0"/>
                  </a:gs>
                  <a:gs pos="20000">
                    <a:srgbClr val="2B91AD"/>
                  </a:gs>
                  <a:gs pos="100000">
                    <a:srgbClr val="1F6E83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76DF-F345-B698-7BE9E82C30A2}"/>
              </c:ext>
            </c:extLst>
          </c:dPt>
          <c:dPt>
            <c:idx val="5"/>
            <c:bubble3D val="0"/>
            <c:spPr>
              <a:gradFill rotWithShape="0">
                <a:gsLst>
                  <a:gs pos="0">
                    <a:srgbClr val="E0751D"/>
                  </a:gs>
                  <a:gs pos="20000">
                    <a:srgbClr val="DB7521"/>
                  </a:gs>
                  <a:gs pos="100000">
                    <a:srgbClr val="A85816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76DF-F345-B698-7BE9E82C30A2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76DF-F345-B698-7BE9E82C30A2}"/>
              </c:ext>
            </c:extLst>
          </c:dPt>
          <c:dPt>
            <c:idx val="7"/>
            <c:bubble3D val="0"/>
            <c:spPr>
              <a:gradFill rotWithShape="0">
                <a:gsLst>
                  <a:gs pos="0">
                    <a:srgbClr val="CE3B37"/>
                  </a:gs>
                  <a:gs pos="20000">
                    <a:srgbClr val="CB3D3A"/>
                  </a:gs>
                  <a:gs pos="100000">
                    <a:srgbClr val="9B2D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76DF-F345-B698-7BE9E82C30A2}"/>
              </c:ext>
            </c:extLst>
          </c:dPt>
          <c:dPt>
            <c:idx val="8"/>
            <c:bubble3D val="0"/>
            <c:spPr>
              <a:gradFill rotWithShape="0">
                <a:gsLst>
                  <a:gs pos="0">
                    <a:srgbClr val="DB9D9D"/>
                  </a:gs>
                  <a:gs pos="20000">
                    <a:srgbClr val="D99E9D"/>
                  </a:gs>
                  <a:gs pos="100000">
                    <a:srgbClr val="A6787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76DF-F345-B698-7BE9E82C30A2}"/>
              </c:ext>
            </c:extLst>
          </c:dPt>
          <c:dPt>
            <c:idx val="9"/>
            <c:bubble3D val="0"/>
            <c:spPr>
              <a:gradFill rotWithShape="0">
                <a:gsLst>
                  <a:gs pos="0">
                    <a:srgbClr val="9CC746"/>
                  </a:gs>
                  <a:gs pos="20000">
                    <a:srgbClr val="9BC348"/>
                  </a:gs>
                  <a:gs pos="100000">
                    <a:srgbClr val="769535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76DF-F345-B698-7BE9E82C30A2}"/>
              </c:ext>
            </c:extLst>
          </c:dPt>
          <c:dPt>
            <c:idx val="10"/>
            <c:bubble3D val="0"/>
            <c:spPr>
              <a:gradFill rotWithShape="0">
                <a:gsLst>
                  <a:gs pos="0">
                    <a:srgbClr val="7B57A8"/>
                  </a:gs>
                  <a:gs pos="20000">
                    <a:srgbClr val="7B58A6"/>
                  </a:gs>
                  <a:gs pos="100000">
                    <a:srgbClr val="5D417E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76DF-F345-B698-7BE9E82C30A2}"/>
              </c:ext>
            </c:extLst>
          </c:dPt>
          <c:dPt>
            <c:idx val="11"/>
            <c:bubble3D val="0"/>
            <c:spPr>
              <a:gradFill rotWithShape="0">
                <a:gsLst>
                  <a:gs pos="0">
                    <a:srgbClr val="34B3D6"/>
                  </a:gs>
                  <a:gs pos="20000">
                    <a:srgbClr val="36B1D2"/>
                  </a:gs>
                  <a:gs pos="100000">
                    <a:srgbClr val="2787A0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76DF-F345-B698-7BE9E82C30A2}"/>
              </c:ext>
            </c:extLst>
          </c:dPt>
          <c:dPt>
            <c:idx val="12"/>
            <c:bubble3D val="0"/>
            <c:spPr>
              <a:gradFill rotWithShape="0">
                <a:gsLst>
                  <a:gs pos="0">
                    <a:srgbClr val="FF8F26"/>
                  </a:gs>
                  <a:gs pos="20000">
                    <a:srgbClr val="FF8F2A"/>
                  </a:gs>
                  <a:gs pos="100000">
                    <a:srgbClr val="CB6C1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8-76DF-F345-B698-7BE9E82C30A2}"/>
              </c:ext>
            </c:extLst>
          </c:dPt>
          <c:dPt>
            <c:idx val="13"/>
            <c:bubble3D val="0"/>
            <c:spPr>
              <a:gradFill rotWithShape="0">
                <a:gsLst>
                  <a:gs pos="0">
                    <a:srgbClr val="9DB3D9"/>
                  </a:gs>
                  <a:gs pos="20000">
                    <a:srgbClr val="9EB3D7"/>
                  </a:gs>
                  <a:gs pos="100000">
                    <a:srgbClr val="7888A4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A-76DF-F345-B698-7BE9E82C30A2}"/>
              </c:ext>
            </c:extLst>
          </c:dPt>
          <c:dPt>
            <c:idx val="14"/>
            <c:bubble3D val="0"/>
            <c:spPr>
              <a:gradFill rotWithShape="0">
                <a:gsLst>
                  <a:gs pos="0">
                    <a:srgbClr val="C2D7A1"/>
                  </a:gs>
                  <a:gs pos="20000">
                    <a:srgbClr val="C1D5A1"/>
                  </a:gs>
                  <a:gs pos="100000">
                    <a:srgbClr val="93A37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C-76DF-F345-B698-7BE9E82C30A2}"/>
              </c:ext>
            </c:extLst>
          </c:dPt>
          <c:dPt>
            <c:idx val="15"/>
            <c:bubble3D val="0"/>
            <c:spPr>
              <a:gradFill rotWithShape="0">
                <a:gsLst>
                  <a:gs pos="0">
                    <a:srgbClr val="B4A7C8"/>
                  </a:gs>
                  <a:gs pos="20000">
                    <a:srgbClr val="B3A6C6"/>
                  </a:gs>
                  <a:gs pos="100000">
                    <a:srgbClr val="887E9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E-76DF-F345-B698-7BE9E82C30A2}"/>
              </c:ext>
            </c:extLst>
          </c:dPt>
          <c:dPt>
            <c:idx val="16"/>
            <c:bubble3D val="0"/>
            <c:spPr>
              <a:gradFill rotWithShape="0">
                <a:gsLst>
                  <a:gs pos="0">
                    <a:srgbClr val="9BCDDF"/>
                  </a:gs>
                  <a:gs pos="20000">
                    <a:srgbClr val="9CCBDD"/>
                  </a:gs>
                  <a:gs pos="100000">
                    <a:srgbClr val="769BA9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0-76DF-F345-B698-7BE9E82C30A2}"/>
              </c:ext>
            </c:extLst>
          </c:dPt>
          <c:dLbls>
            <c:dLbl>
              <c:idx val="2"/>
              <c:layout>
                <c:manualLayout>
                  <c:x val="2.16640419947507E-3"/>
                  <c:y val="6.905741816491959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6DF-F345-B698-7BE9E82C30A2}"/>
                </c:ext>
              </c:extLst>
            </c:dLbl>
            <c:dLbl>
              <c:idx val="5"/>
              <c:layout>
                <c:manualLayout>
                  <c:x val="-1.1669291338582701E-3"/>
                  <c:y val="-3.037117064191870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6DF-F345-B698-7BE9E82C30A2}"/>
                </c:ext>
              </c:extLst>
            </c:dLbl>
            <c:dLbl>
              <c:idx val="6"/>
              <c:layout>
                <c:manualLayout>
                  <c:x val="7.8719160104986904E-2"/>
                  <c:y val="9.850510346188319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6DF-F345-B698-7BE9E82C30A2}"/>
                </c:ext>
              </c:extLst>
            </c:dLbl>
            <c:dLbl>
              <c:idx val="10"/>
              <c:layout>
                <c:manualLayout>
                  <c:x val="9.2958923884514405E-2"/>
                  <c:y val="8.108238416471119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6DF-F345-B698-7BE9E82C30A2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'2026 project'!$C$13:$C$28</c:f>
              <c:strCache>
                <c:ptCount val="16"/>
                <c:pt idx="0">
                  <c:v>Zakelijk verkeer: personenvervoer</c:v>
                </c:pt>
                <c:pt idx="1">
                  <c:v>Zakelijk verkeer: bedrijfsbusjes</c:v>
                </c:pt>
                <c:pt idx="2">
                  <c:v>Zakelijk verkeer: vrachtverkeer</c:v>
                </c:pt>
                <c:pt idx="3">
                  <c:v>Overige energiedragers</c:v>
                </c:pt>
                <c:pt idx="4">
                  <c:v>Verwarming, gas</c:v>
                </c:pt>
                <c:pt idx="7">
                  <c:v>Elektriciteitsverbruik</c:v>
                </c:pt>
                <c:pt idx="8">
                  <c:v>Zakelijk verkeer: electr. wagenpark</c:v>
                </c:pt>
                <c:pt idx="9">
                  <c:v>Overige energie: stadswarmte</c:v>
                </c:pt>
                <c:pt idx="12">
                  <c:v>Zakelijk verkeer: priveauto's</c:v>
                </c:pt>
                <c:pt idx="13">
                  <c:v>Zakelijk verkeer: OV</c:v>
                </c:pt>
                <c:pt idx="14">
                  <c:v>Personenvervoer vliegtuig</c:v>
                </c:pt>
                <c:pt idx="15">
                  <c:v>Anders namelijk…</c:v>
                </c:pt>
              </c:strCache>
            </c:strRef>
          </c:cat>
          <c:val>
            <c:numRef>
              <c:f>'2026 project'!$F$13:$F$28</c:f>
              <c:numCache>
                <c:formatCode>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76DF-F345-B698-7BE9E82C3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egendEntry>
        <c:idx val="4"/>
        <c:delete val="1"/>
      </c:legendEntry>
      <c:legendEntry>
        <c:idx val="5"/>
        <c:delete val="1"/>
      </c:legendEntry>
      <c:legendEntry>
        <c:idx val="9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0.56661901637295342"/>
          <c:y val="1.4285755398996179E-2"/>
          <c:w val="0.35691601049868765"/>
          <c:h val="0.97890736519777144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1" l="0.75" r="0.75" t="1" header="0.5" footer="0.5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22725695323369"/>
          <c:y val="6.2547823116368098E-2"/>
          <c:w val="0.55266990202020605"/>
          <c:h val="0.87490435376726305"/>
        </c:manualLayout>
      </c:layout>
      <c:pieChart>
        <c:varyColors val="1"/>
        <c:ser>
          <c:idx val="0"/>
          <c:order val="0"/>
          <c:tx>
            <c:strRef>
              <c:f>'2026 verdeling'!$F$12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0699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724-D641-9683-30FE566CE309}"/>
              </c:ext>
            </c:extLst>
          </c:dPt>
          <c:dPt>
            <c:idx val="1"/>
            <c:bubble3D val="0"/>
            <c:spPr>
              <a:solidFill>
                <a:srgbClr val="9E41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724-D641-9683-30FE566CE309}"/>
              </c:ext>
            </c:extLst>
          </c:dPt>
          <c:dPt>
            <c:idx val="2"/>
            <c:bubble3D val="0"/>
            <c:spPr>
              <a:solidFill>
                <a:srgbClr val="7F9A4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724-D641-9683-30FE566CE309}"/>
              </c:ext>
            </c:extLst>
          </c:dPt>
          <c:dPt>
            <c:idx val="3"/>
            <c:bubble3D val="0"/>
            <c:spPr>
              <a:solidFill>
                <a:srgbClr val="69518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724-D641-9683-30FE566CE309}"/>
              </c:ext>
            </c:extLst>
          </c:dPt>
          <c:dPt>
            <c:idx val="4"/>
            <c:bubble3D val="0"/>
            <c:spPr>
              <a:solidFill>
                <a:srgbClr val="3C8DA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724-D641-9683-30FE566CE309}"/>
              </c:ext>
            </c:extLst>
          </c:dPt>
          <c:dPt>
            <c:idx val="5"/>
            <c:bubble3D val="0"/>
            <c:spPr>
              <a:solidFill>
                <a:srgbClr val="CC7B3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724-D641-9683-30FE566CE309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4724-D641-9683-30FE566CE309}"/>
              </c:ext>
            </c:extLst>
          </c:dPt>
          <c:dPt>
            <c:idx val="7"/>
            <c:bubble3D val="0"/>
            <c:spPr>
              <a:solidFill>
                <a:srgbClr val="C0504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E-4724-D641-9683-30FE566CE309}"/>
              </c:ext>
            </c:extLst>
          </c:dPt>
          <c:dPt>
            <c:idx val="8"/>
            <c:bubble3D val="0"/>
            <c:spPr>
              <a:solidFill>
                <a:srgbClr val="9BBB5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0-4724-D641-9683-30FE566CE309}"/>
              </c:ext>
            </c:extLst>
          </c:dPt>
          <c:dLbls>
            <c:dLbl>
              <c:idx val="0"/>
              <c:layout>
                <c:manualLayout>
                  <c:x val="6.6326393445610962E-2"/>
                  <c:y val="4.9603369891263592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0327434632326"/>
                      <c:h val="0.2021175478065239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4724-D641-9683-30FE566CE309}"/>
                </c:ext>
              </c:extLst>
            </c:dLbl>
            <c:dLbl>
              <c:idx val="7"/>
              <c:layout>
                <c:manualLayout>
                  <c:x val="-8.6805555555555552E-2"/>
                  <c:y val="-0.12896825396825407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724-D641-9683-30FE566CE309}"/>
                </c:ext>
              </c:extLst>
            </c:dLbl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'2026 verdeling'!$B$12:$B$27</c:f>
              <c:strCache>
                <c:ptCount val="8"/>
                <c:pt idx="0">
                  <c:v>Eigen locatie</c:v>
                </c:pt>
                <c:pt idx="7">
                  <c:v>Projectlocaties</c:v>
                </c:pt>
              </c:strCache>
            </c:strRef>
          </c:cat>
          <c:val>
            <c:numRef>
              <c:f>'2026 verdeling'!$G$12:$G$27</c:f>
              <c:numCache>
                <c:formatCode>General</c:formatCode>
                <c:ptCount val="16"/>
                <c:pt idx="0" formatCode="0.00">
                  <c:v>0</c:v>
                </c:pt>
                <c:pt idx="7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4724-D641-9683-30FE566CE3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50000000000001" l="0.70000000000000095" r="0.70000000000000095" t="0.750000000000001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285763582853203E-2"/>
          <c:y val="0.13388713469478999"/>
          <c:w val="0.41250009027342299"/>
          <c:h val="0.77731244709928804"/>
        </c:manualLayout>
      </c:layout>
      <c:pieChart>
        <c:varyColors val="1"/>
        <c:ser>
          <c:idx val="0"/>
          <c:order val="0"/>
          <c:spPr>
            <a:gradFill rotWithShape="0">
              <a:gsLst>
                <a:gs pos="0">
                  <a:srgbClr val="3A7CCB"/>
                </a:gs>
                <a:gs pos="20000">
                  <a:srgbClr val="3C7BC7"/>
                </a:gs>
                <a:gs pos="100000">
                  <a:srgbClr val="2C5D98"/>
                </a:gs>
              </a:gsLst>
              <a:lin ang="5400000"/>
            </a:gra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dPt>
            <c:idx val="1"/>
            <c:bubble3D val="0"/>
            <c:spPr>
              <a:gradFill rotWithShape="0">
                <a:gsLst>
                  <a:gs pos="0">
                    <a:srgbClr val="2E65A7"/>
                  </a:gs>
                  <a:gs pos="20000">
                    <a:srgbClr val="3065A4"/>
                  </a:gs>
                  <a:gs pos="100000">
                    <a:srgbClr val="224B7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EF4-0341-9152-4F41A549C25D}"/>
              </c:ext>
            </c:extLst>
          </c:dPt>
          <c:dPt>
            <c:idx val="2"/>
            <c:bubble3D val="0"/>
            <c:spPr>
              <a:gradFill rotWithShape="0">
                <a:gsLst>
                  <a:gs pos="0">
                    <a:srgbClr val="AA2F2C"/>
                  </a:gs>
                  <a:gs pos="20000">
                    <a:srgbClr val="A7312E"/>
                  </a:gs>
                  <a:gs pos="100000">
                    <a:srgbClr val="7F2321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EF4-0341-9152-4F41A549C25D}"/>
              </c:ext>
            </c:extLst>
          </c:dPt>
          <c:dPt>
            <c:idx val="3"/>
            <c:bubble3D val="0"/>
            <c:spPr>
              <a:gradFill rotWithShape="0">
                <a:gsLst>
                  <a:gs pos="0">
                    <a:srgbClr val="80A438"/>
                  </a:gs>
                  <a:gs pos="20000">
                    <a:srgbClr val="7FA13A"/>
                  </a:gs>
                  <a:gs pos="100000">
                    <a:srgbClr val="607A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5EF4-0341-9152-4F41A549C25D}"/>
              </c:ext>
            </c:extLst>
          </c:dPt>
          <c:dPt>
            <c:idx val="4"/>
            <c:bubble3D val="0"/>
            <c:spPr>
              <a:gradFill rotWithShape="0">
                <a:gsLst>
                  <a:gs pos="0">
                    <a:srgbClr val="65468A"/>
                  </a:gs>
                  <a:gs pos="20000">
                    <a:srgbClr val="644788"/>
                  </a:gs>
                  <a:gs pos="100000">
                    <a:srgbClr val="4B346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5EF4-0341-9152-4F41A549C25D}"/>
              </c:ext>
            </c:extLst>
          </c:dPt>
          <c:dPt>
            <c:idx val="5"/>
            <c:bubble3D val="0"/>
            <c:spPr>
              <a:gradFill rotWithShape="0">
                <a:gsLst>
                  <a:gs pos="0">
                    <a:srgbClr val="2994B0"/>
                  </a:gs>
                  <a:gs pos="20000">
                    <a:srgbClr val="2B91AD"/>
                  </a:gs>
                  <a:gs pos="100000">
                    <a:srgbClr val="1F6E83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5EF4-0341-9152-4F41A549C25D}"/>
              </c:ext>
            </c:extLst>
          </c:dPt>
          <c:dPt>
            <c:idx val="6"/>
            <c:bubble3D val="0"/>
            <c:spPr>
              <a:gradFill rotWithShape="0">
                <a:gsLst>
                  <a:gs pos="0">
                    <a:srgbClr val="E0751D"/>
                  </a:gs>
                  <a:gs pos="20000">
                    <a:srgbClr val="DB7521"/>
                  </a:gs>
                  <a:gs pos="100000">
                    <a:srgbClr val="A85816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5EF4-0341-9152-4F41A549C25D}"/>
              </c:ext>
            </c:extLst>
          </c:dPt>
          <c:dPt>
            <c:idx val="7"/>
            <c:bubble3D val="0"/>
            <c:extLst>
              <c:ext xmlns:c16="http://schemas.microsoft.com/office/drawing/2014/chart" uri="{C3380CC4-5D6E-409C-BE32-E72D297353CC}">
                <c16:uniqueId val="{0000000C-5EF4-0341-9152-4F41A549C25D}"/>
              </c:ext>
            </c:extLst>
          </c:dPt>
          <c:dPt>
            <c:idx val="8"/>
            <c:bubble3D val="0"/>
            <c:spPr>
              <a:gradFill rotWithShape="0">
                <a:gsLst>
                  <a:gs pos="0">
                    <a:srgbClr val="CE3B37"/>
                  </a:gs>
                  <a:gs pos="20000">
                    <a:srgbClr val="CB3D3A"/>
                  </a:gs>
                  <a:gs pos="100000">
                    <a:srgbClr val="9B2D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5EF4-0341-9152-4F41A549C25D}"/>
              </c:ext>
            </c:extLst>
          </c:dPt>
          <c:dPt>
            <c:idx val="9"/>
            <c:bubble3D val="0"/>
            <c:spPr>
              <a:gradFill rotWithShape="0">
                <a:gsLst>
                  <a:gs pos="0">
                    <a:srgbClr val="DB9D9D"/>
                  </a:gs>
                  <a:gs pos="20000">
                    <a:srgbClr val="D99E9D"/>
                  </a:gs>
                  <a:gs pos="100000">
                    <a:srgbClr val="A6787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5EF4-0341-9152-4F41A549C25D}"/>
              </c:ext>
            </c:extLst>
          </c:dPt>
          <c:dLbls>
            <c:dLbl>
              <c:idx val="3"/>
              <c:layout>
                <c:manualLayout>
                  <c:x val="2.16640419947507E-3"/>
                  <c:y val="6.905741816491959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EF4-0341-9152-4F41A549C25D}"/>
                </c:ext>
              </c:extLst>
            </c:dLbl>
            <c:dLbl>
              <c:idx val="6"/>
              <c:layout>
                <c:manualLayout>
                  <c:x val="-1.1669291338582701E-3"/>
                  <c:y val="-3.037117064191870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EF4-0341-9152-4F41A549C25D}"/>
                </c:ext>
              </c:extLst>
            </c:dLbl>
            <c:dLbl>
              <c:idx val="7"/>
              <c:layout>
                <c:manualLayout>
                  <c:x val="2.3163667041619797E-2"/>
                  <c:y val="6.195607128056361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EF4-0341-9152-4F41A549C25D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'2026 verdeling'!$C$13:$C$27</c:f>
              <c:strCache>
                <c:ptCount val="15"/>
                <c:pt idx="0">
                  <c:v>Zakelijk verkeer: personenvervoer</c:v>
                </c:pt>
                <c:pt idx="1">
                  <c:v>Overige energiedragers</c:v>
                </c:pt>
                <c:pt idx="2">
                  <c:v>Verwarming, gas</c:v>
                </c:pt>
                <c:pt idx="3">
                  <c:v>Elektriciteitsverbruik</c:v>
                </c:pt>
                <c:pt idx="4">
                  <c:v>Zakelijk verkeer: OV</c:v>
                </c:pt>
                <c:pt idx="7">
                  <c:v>Zakelijk verkeer: personenvervoer</c:v>
                </c:pt>
                <c:pt idx="8">
                  <c:v>Zakelijk verkeer: bedrijfsbusjes</c:v>
                </c:pt>
                <c:pt idx="9">
                  <c:v>Zakelijk verkeer: vrachtverkeer</c:v>
                </c:pt>
                <c:pt idx="10">
                  <c:v>Overige energiedragers</c:v>
                </c:pt>
                <c:pt idx="11">
                  <c:v>Verwarming, gas</c:v>
                </c:pt>
                <c:pt idx="12">
                  <c:v>Elektriciteitsverbruik</c:v>
                </c:pt>
                <c:pt idx="13">
                  <c:v>Zakelijk verkeer: OV</c:v>
                </c:pt>
                <c:pt idx="14">
                  <c:v>Personenvervoer vliegtuig</c:v>
                </c:pt>
              </c:strCache>
            </c:strRef>
          </c:cat>
          <c:val>
            <c:numRef>
              <c:f>'2026 verdeling'!$F$13:$F$27</c:f>
              <c:numCache>
                <c:formatCode>0.00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5EF4-0341-9152-4F41A549C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egendEntry>
        <c:idx val="5"/>
        <c:delete val="1"/>
      </c:legendEntry>
      <c:legendEntry>
        <c:idx val="6"/>
        <c:delete val="1"/>
      </c:legendEntry>
      <c:layout>
        <c:manualLayout>
          <c:xMode val="edge"/>
          <c:yMode val="edge"/>
          <c:x val="0.57293557055368083"/>
          <c:y val="7.8095501220242208E-3"/>
          <c:w val="0.40127077865266841"/>
          <c:h val="0.98438089975595156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1" l="0.75" r="0.7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22725695323369"/>
          <c:y val="6.2547823116368098E-2"/>
          <c:w val="0.55266990202020605"/>
          <c:h val="0.87490435376726305"/>
        </c:manualLayout>
      </c:layout>
      <c:pieChart>
        <c:varyColors val="1"/>
        <c:ser>
          <c:idx val="0"/>
          <c:order val="0"/>
          <c:tx>
            <c:strRef>
              <c:f>'2024 H2'!$F$12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0699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E1D-4672-B7AC-C570503C1778}"/>
              </c:ext>
            </c:extLst>
          </c:dPt>
          <c:dPt>
            <c:idx val="1"/>
            <c:bubble3D val="0"/>
            <c:spPr>
              <a:solidFill>
                <a:srgbClr val="9E41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E1D-4672-B7AC-C570503C1778}"/>
              </c:ext>
            </c:extLst>
          </c:dPt>
          <c:dPt>
            <c:idx val="2"/>
            <c:bubble3D val="0"/>
            <c:spPr>
              <a:solidFill>
                <a:srgbClr val="7F9A4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E1D-4672-B7AC-C570503C1778}"/>
              </c:ext>
            </c:extLst>
          </c:dPt>
          <c:dPt>
            <c:idx val="3"/>
            <c:bubble3D val="0"/>
            <c:spPr>
              <a:solidFill>
                <a:srgbClr val="69518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E1D-4672-B7AC-C570503C1778}"/>
              </c:ext>
            </c:extLst>
          </c:dPt>
          <c:dPt>
            <c:idx val="4"/>
            <c:bubble3D val="0"/>
            <c:spPr>
              <a:solidFill>
                <a:srgbClr val="3C8DA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E1D-4672-B7AC-C570503C1778}"/>
              </c:ext>
            </c:extLst>
          </c:dPt>
          <c:dPt>
            <c:idx val="5"/>
            <c:bubble3D val="0"/>
            <c:spPr>
              <a:solidFill>
                <a:srgbClr val="CC7B3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E1D-4672-B7AC-C570503C1778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CE1D-4672-B7AC-C570503C1778}"/>
              </c:ext>
            </c:extLst>
          </c:dPt>
          <c:dPt>
            <c:idx val="7"/>
            <c:bubble3D val="0"/>
            <c:spPr>
              <a:solidFill>
                <a:srgbClr val="C0504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E-CE1D-4672-B7AC-C570503C1778}"/>
              </c:ext>
            </c:extLst>
          </c:dPt>
          <c:dPt>
            <c:idx val="8"/>
            <c:bubble3D val="0"/>
            <c:spPr>
              <a:solidFill>
                <a:srgbClr val="9BBB5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0-CE1D-4672-B7AC-C570503C1778}"/>
              </c:ext>
            </c:extLst>
          </c:dPt>
          <c:dPt>
            <c:idx val="10"/>
            <c:bubble3D val="0"/>
            <c:spPr>
              <a:solidFill>
                <a:srgbClr val="8064A2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2-CE1D-4672-B7AC-C570503C1778}"/>
              </c:ext>
            </c:extLst>
          </c:dPt>
          <c:dPt>
            <c:idx val="11"/>
            <c:bubble3D val="0"/>
            <c:spPr>
              <a:solidFill>
                <a:srgbClr val="4BACC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4-CE1D-4672-B7AC-C570503C1778}"/>
              </c:ext>
            </c:extLst>
          </c:dPt>
          <c:dPt>
            <c:idx val="12"/>
            <c:bubble3D val="0"/>
            <c:spPr>
              <a:solidFill>
                <a:srgbClr val="F7964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6-CE1D-4672-B7AC-C570503C1778}"/>
              </c:ext>
            </c:extLst>
          </c:dPt>
          <c:dPt>
            <c:idx val="13"/>
            <c:bubble3D val="0"/>
            <c:spPr>
              <a:solidFill>
                <a:srgbClr val="AABA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CE1D-4672-B7AC-C570503C1778}"/>
              </c:ext>
            </c:extLst>
          </c:dPt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 H2'!$B$12:$B$24</c:f>
              <c:strCache>
                <c:ptCount val="13"/>
                <c:pt idx="0">
                  <c:v>Scope 1</c:v>
                </c:pt>
                <c:pt idx="7">
                  <c:v>Scope 2</c:v>
                </c:pt>
                <c:pt idx="12">
                  <c:v>Business travel - scope 3</c:v>
                </c:pt>
              </c:strCache>
            </c:strRef>
          </c:cat>
          <c:val>
            <c:numRef>
              <c:f>'2024 H2'!$G$12:$G$24</c:f>
              <c:numCache>
                <c:formatCode>General</c:formatCode>
                <c:ptCount val="13"/>
                <c:pt idx="0" formatCode="0.00">
                  <c:v>616.43246700000009</c:v>
                </c:pt>
                <c:pt idx="7" formatCode="0.00">
                  <c:v>27.970088000000001</c:v>
                </c:pt>
                <c:pt idx="12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CE1D-4672-B7AC-C570503C1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50000000000001" l="0.70000000000000095" r="0.70000000000000095" t="0.750000000000001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285763582853203E-2"/>
          <c:y val="0.13388713469478999"/>
          <c:w val="0.41250009027342299"/>
          <c:h val="0.77731244709928804"/>
        </c:manualLayout>
      </c:layout>
      <c:pieChart>
        <c:varyColors val="1"/>
        <c:ser>
          <c:idx val="0"/>
          <c:order val="0"/>
          <c:spPr>
            <a:gradFill rotWithShape="0">
              <a:gsLst>
                <a:gs pos="0">
                  <a:srgbClr val="3A7CCB"/>
                </a:gs>
                <a:gs pos="20000">
                  <a:srgbClr val="3C7BC7"/>
                </a:gs>
                <a:gs pos="100000">
                  <a:srgbClr val="2C5D98"/>
                </a:gs>
              </a:gsLst>
              <a:lin ang="5400000"/>
            </a:gra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dPt>
            <c:idx val="0"/>
            <c:bubble3D val="0"/>
            <c:spPr>
              <a:gradFill rotWithShape="0">
                <a:gsLst>
                  <a:gs pos="0">
                    <a:srgbClr val="2E65A7"/>
                  </a:gs>
                  <a:gs pos="20000">
                    <a:srgbClr val="3065A4"/>
                  </a:gs>
                  <a:gs pos="100000">
                    <a:srgbClr val="224B7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66F-47E4-8F70-2DDDFFC9F8C3}"/>
              </c:ext>
            </c:extLst>
          </c:dPt>
          <c:dPt>
            <c:idx val="1"/>
            <c:bubble3D val="0"/>
            <c:spPr>
              <a:gradFill rotWithShape="0">
                <a:gsLst>
                  <a:gs pos="0">
                    <a:srgbClr val="AA2F2C"/>
                  </a:gs>
                  <a:gs pos="20000">
                    <a:srgbClr val="A7312E"/>
                  </a:gs>
                  <a:gs pos="100000">
                    <a:srgbClr val="7F2321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F66F-47E4-8F70-2DDDFFC9F8C3}"/>
              </c:ext>
            </c:extLst>
          </c:dPt>
          <c:dPt>
            <c:idx val="2"/>
            <c:bubble3D val="0"/>
            <c:spPr>
              <a:gradFill rotWithShape="0">
                <a:gsLst>
                  <a:gs pos="0">
                    <a:srgbClr val="80A438"/>
                  </a:gs>
                  <a:gs pos="20000">
                    <a:srgbClr val="7FA13A"/>
                  </a:gs>
                  <a:gs pos="100000">
                    <a:srgbClr val="607A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F66F-47E4-8F70-2DDDFFC9F8C3}"/>
              </c:ext>
            </c:extLst>
          </c:dPt>
          <c:dPt>
            <c:idx val="3"/>
            <c:bubble3D val="0"/>
            <c:spPr>
              <a:gradFill rotWithShape="0">
                <a:gsLst>
                  <a:gs pos="0">
                    <a:srgbClr val="65468A"/>
                  </a:gs>
                  <a:gs pos="20000">
                    <a:srgbClr val="644788"/>
                  </a:gs>
                  <a:gs pos="100000">
                    <a:srgbClr val="4B346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F66F-47E4-8F70-2DDDFFC9F8C3}"/>
              </c:ext>
            </c:extLst>
          </c:dPt>
          <c:dPt>
            <c:idx val="4"/>
            <c:bubble3D val="0"/>
            <c:spPr>
              <a:gradFill rotWithShape="0">
                <a:gsLst>
                  <a:gs pos="0">
                    <a:srgbClr val="2994B0"/>
                  </a:gs>
                  <a:gs pos="20000">
                    <a:srgbClr val="2B91AD"/>
                  </a:gs>
                  <a:gs pos="100000">
                    <a:srgbClr val="1F6E83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F66F-47E4-8F70-2DDDFFC9F8C3}"/>
              </c:ext>
            </c:extLst>
          </c:dPt>
          <c:dPt>
            <c:idx val="5"/>
            <c:bubble3D val="0"/>
            <c:spPr>
              <a:gradFill rotWithShape="0">
                <a:gsLst>
                  <a:gs pos="0">
                    <a:srgbClr val="E0751D"/>
                  </a:gs>
                  <a:gs pos="20000">
                    <a:srgbClr val="DB7521"/>
                  </a:gs>
                  <a:gs pos="100000">
                    <a:srgbClr val="A85816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F66F-47E4-8F70-2DDDFFC9F8C3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F66F-47E4-8F70-2DDDFFC9F8C3}"/>
              </c:ext>
            </c:extLst>
          </c:dPt>
          <c:dPt>
            <c:idx val="7"/>
            <c:bubble3D val="0"/>
            <c:spPr>
              <a:gradFill rotWithShape="0">
                <a:gsLst>
                  <a:gs pos="0">
                    <a:srgbClr val="CE3B37"/>
                  </a:gs>
                  <a:gs pos="20000">
                    <a:srgbClr val="CB3D3A"/>
                  </a:gs>
                  <a:gs pos="100000">
                    <a:srgbClr val="9B2D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F66F-47E4-8F70-2DDDFFC9F8C3}"/>
              </c:ext>
            </c:extLst>
          </c:dPt>
          <c:dPt>
            <c:idx val="8"/>
            <c:bubble3D val="0"/>
            <c:spPr>
              <a:gradFill rotWithShape="0">
                <a:gsLst>
                  <a:gs pos="0">
                    <a:srgbClr val="DB9D9D"/>
                  </a:gs>
                  <a:gs pos="20000">
                    <a:srgbClr val="D99E9D"/>
                  </a:gs>
                  <a:gs pos="100000">
                    <a:srgbClr val="A6787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F66F-47E4-8F70-2DDDFFC9F8C3}"/>
              </c:ext>
            </c:extLst>
          </c:dPt>
          <c:dPt>
            <c:idx val="9"/>
            <c:bubble3D val="0"/>
            <c:spPr>
              <a:gradFill rotWithShape="0">
                <a:gsLst>
                  <a:gs pos="0">
                    <a:srgbClr val="9CC746"/>
                  </a:gs>
                  <a:gs pos="20000">
                    <a:srgbClr val="9BC348"/>
                  </a:gs>
                  <a:gs pos="100000">
                    <a:srgbClr val="769535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F66F-47E4-8F70-2DDDFFC9F8C3}"/>
              </c:ext>
            </c:extLst>
          </c:dPt>
          <c:dPt>
            <c:idx val="10"/>
            <c:bubble3D val="0"/>
            <c:spPr>
              <a:gradFill rotWithShape="0">
                <a:gsLst>
                  <a:gs pos="0">
                    <a:srgbClr val="7B57A8"/>
                  </a:gs>
                  <a:gs pos="20000">
                    <a:srgbClr val="7B58A6"/>
                  </a:gs>
                  <a:gs pos="100000">
                    <a:srgbClr val="5D417E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F66F-47E4-8F70-2DDDFFC9F8C3}"/>
              </c:ext>
            </c:extLst>
          </c:dPt>
          <c:dPt>
            <c:idx val="11"/>
            <c:bubble3D val="0"/>
            <c:spPr>
              <a:gradFill rotWithShape="0">
                <a:gsLst>
                  <a:gs pos="0">
                    <a:srgbClr val="34B3D6"/>
                  </a:gs>
                  <a:gs pos="20000">
                    <a:srgbClr val="36B1D2"/>
                  </a:gs>
                  <a:gs pos="100000">
                    <a:srgbClr val="2787A0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F66F-47E4-8F70-2DDDFFC9F8C3}"/>
              </c:ext>
            </c:extLst>
          </c:dPt>
          <c:dPt>
            <c:idx val="12"/>
            <c:bubble3D val="0"/>
            <c:spPr>
              <a:gradFill rotWithShape="0">
                <a:gsLst>
                  <a:gs pos="0">
                    <a:srgbClr val="FF8F26"/>
                  </a:gs>
                  <a:gs pos="20000">
                    <a:srgbClr val="FF8F2A"/>
                  </a:gs>
                  <a:gs pos="100000">
                    <a:srgbClr val="CB6C1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8-F66F-47E4-8F70-2DDDFFC9F8C3}"/>
              </c:ext>
            </c:extLst>
          </c:dPt>
          <c:dPt>
            <c:idx val="13"/>
            <c:bubble3D val="0"/>
            <c:spPr>
              <a:gradFill rotWithShape="0">
                <a:gsLst>
                  <a:gs pos="0">
                    <a:srgbClr val="9DB3D9"/>
                  </a:gs>
                  <a:gs pos="20000">
                    <a:srgbClr val="9EB3D7"/>
                  </a:gs>
                  <a:gs pos="100000">
                    <a:srgbClr val="7888A4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A-F66F-47E4-8F70-2DDDFFC9F8C3}"/>
              </c:ext>
            </c:extLst>
          </c:dPt>
          <c:dPt>
            <c:idx val="14"/>
            <c:bubble3D val="0"/>
            <c:spPr>
              <a:gradFill rotWithShape="0">
                <a:gsLst>
                  <a:gs pos="0">
                    <a:srgbClr val="C2D7A1"/>
                  </a:gs>
                  <a:gs pos="20000">
                    <a:srgbClr val="C1D5A1"/>
                  </a:gs>
                  <a:gs pos="100000">
                    <a:srgbClr val="93A37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C-F66F-47E4-8F70-2DDDFFC9F8C3}"/>
              </c:ext>
            </c:extLst>
          </c:dPt>
          <c:dPt>
            <c:idx val="15"/>
            <c:bubble3D val="0"/>
            <c:spPr>
              <a:gradFill rotWithShape="0">
                <a:gsLst>
                  <a:gs pos="0">
                    <a:srgbClr val="B4A7C8"/>
                  </a:gs>
                  <a:gs pos="20000">
                    <a:srgbClr val="B3A6C6"/>
                  </a:gs>
                  <a:gs pos="100000">
                    <a:srgbClr val="887E9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E-F66F-47E4-8F70-2DDDFFC9F8C3}"/>
              </c:ext>
            </c:extLst>
          </c:dPt>
          <c:dPt>
            <c:idx val="16"/>
            <c:bubble3D val="0"/>
            <c:spPr>
              <a:gradFill rotWithShape="0">
                <a:gsLst>
                  <a:gs pos="0">
                    <a:srgbClr val="9BCDDF"/>
                  </a:gs>
                  <a:gs pos="20000">
                    <a:srgbClr val="9CCBDD"/>
                  </a:gs>
                  <a:gs pos="100000">
                    <a:srgbClr val="769BA9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0-F66F-47E4-8F70-2DDDFFC9F8C3}"/>
              </c:ext>
            </c:extLst>
          </c:dPt>
          <c:dLbls>
            <c:dLbl>
              <c:idx val="2"/>
              <c:layout>
                <c:manualLayout>
                  <c:x val="2.16640419947507E-3"/>
                  <c:y val="6.905741816491959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66F-47E4-8F70-2DDDFFC9F8C3}"/>
                </c:ext>
              </c:extLst>
            </c:dLbl>
            <c:dLbl>
              <c:idx val="5"/>
              <c:layout>
                <c:manualLayout>
                  <c:x val="-1.1669291338582701E-3"/>
                  <c:y val="-3.037117064191870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66F-47E4-8F70-2DDDFFC9F8C3}"/>
                </c:ext>
              </c:extLst>
            </c:dLbl>
            <c:dLbl>
              <c:idx val="6"/>
              <c:layout>
                <c:manualLayout>
                  <c:x val="7.8719160104986904E-2"/>
                  <c:y val="9.850510346188319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66F-47E4-8F70-2DDDFFC9F8C3}"/>
                </c:ext>
              </c:extLst>
            </c:dLbl>
            <c:dLbl>
              <c:idx val="10"/>
              <c:layout>
                <c:manualLayout>
                  <c:x val="9.2958923884514405E-2"/>
                  <c:y val="8.108238416471119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F66F-47E4-8F70-2DDDFFC9F8C3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 H2'!$C$13:$C$28</c:f>
              <c:strCache>
                <c:ptCount val="16"/>
                <c:pt idx="0">
                  <c:v>Zakelijk verkeer: personenvervoer</c:v>
                </c:pt>
                <c:pt idx="1">
                  <c:v>Zakelijk verkeer: bedrijfsbusjes</c:v>
                </c:pt>
                <c:pt idx="2">
                  <c:v>Zakelijk verkeer: vrachtverkeer</c:v>
                </c:pt>
                <c:pt idx="3">
                  <c:v>Overige energiedragers</c:v>
                </c:pt>
                <c:pt idx="4">
                  <c:v>Verwarming, gas</c:v>
                </c:pt>
                <c:pt idx="7">
                  <c:v>Elektriciteitsverbruik</c:v>
                </c:pt>
                <c:pt idx="8">
                  <c:v>Zakelijk verkeer: electr. wagenpark</c:v>
                </c:pt>
                <c:pt idx="9">
                  <c:v>Overige energie: stadswarmte</c:v>
                </c:pt>
                <c:pt idx="12">
                  <c:v>Zakelijk verkeer: priveauto's</c:v>
                </c:pt>
                <c:pt idx="13">
                  <c:v>Zakelijk verkeer: OV</c:v>
                </c:pt>
                <c:pt idx="14">
                  <c:v>Personenvervoer vliegtuig</c:v>
                </c:pt>
                <c:pt idx="15">
                  <c:v>Anders namelijk…</c:v>
                </c:pt>
              </c:strCache>
            </c:strRef>
          </c:cat>
          <c:val>
            <c:numRef>
              <c:f>'2024 H2'!$F$13:$F$28</c:f>
              <c:numCache>
                <c:formatCode>0.00</c:formatCode>
                <c:ptCount val="16"/>
                <c:pt idx="0">
                  <c:v>8.2739930000000008</c:v>
                </c:pt>
                <c:pt idx="1">
                  <c:v>583.77965800000004</c:v>
                </c:pt>
                <c:pt idx="2">
                  <c:v>0</c:v>
                </c:pt>
                <c:pt idx="3">
                  <c:v>0</c:v>
                </c:pt>
                <c:pt idx="4">
                  <c:v>24.378816</c:v>
                </c:pt>
                <c:pt idx="7">
                  <c:v>27.970088000000001</c:v>
                </c:pt>
                <c:pt idx="8">
                  <c:v>0</c:v>
                </c:pt>
                <c:pt idx="9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F66F-47E4-8F70-2DDDFFC9F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egendEntry>
        <c:idx val="4"/>
        <c:delete val="1"/>
      </c:legendEntry>
      <c:legendEntry>
        <c:idx val="5"/>
        <c:delete val="1"/>
      </c:legendEntry>
      <c:legendEntry>
        <c:idx val="9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0.5672094113235846"/>
          <c:y val="1.465211585393931E-2"/>
          <c:w val="0.3572136295463067"/>
          <c:h val="0.97069539384500003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22725695323369"/>
          <c:y val="6.2547823116368098E-2"/>
          <c:w val="0.55266990202020605"/>
          <c:h val="0.87490435376726305"/>
        </c:manualLayout>
      </c:layout>
      <c:pieChart>
        <c:varyColors val="1"/>
        <c:ser>
          <c:idx val="0"/>
          <c:order val="0"/>
          <c:tx>
            <c:strRef>
              <c:f>'2025 H1'!$F$12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0699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B84-44FC-875E-9A5AE9CF090C}"/>
              </c:ext>
            </c:extLst>
          </c:dPt>
          <c:dPt>
            <c:idx val="1"/>
            <c:bubble3D val="0"/>
            <c:spPr>
              <a:solidFill>
                <a:srgbClr val="9E41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B84-44FC-875E-9A5AE9CF090C}"/>
              </c:ext>
            </c:extLst>
          </c:dPt>
          <c:dPt>
            <c:idx val="2"/>
            <c:bubble3D val="0"/>
            <c:spPr>
              <a:solidFill>
                <a:srgbClr val="7F9A4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B84-44FC-875E-9A5AE9CF090C}"/>
              </c:ext>
            </c:extLst>
          </c:dPt>
          <c:dPt>
            <c:idx val="3"/>
            <c:bubble3D val="0"/>
            <c:spPr>
              <a:solidFill>
                <a:srgbClr val="69518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B84-44FC-875E-9A5AE9CF090C}"/>
              </c:ext>
            </c:extLst>
          </c:dPt>
          <c:dPt>
            <c:idx val="4"/>
            <c:bubble3D val="0"/>
            <c:spPr>
              <a:solidFill>
                <a:srgbClr val="3C8DA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B84-44FC-875E-9A5AE9CF090C}"/>
              </c:ext>
            </c:extLst>
          </c:dPt>
          <c:dPt>
            <c:idx val="5"/>
            <c:bubble3D val="0"/>
            <c:spPr>
              <a:solidFill>
                <a:srgbClr val="CC7B3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B84-44FC-875E-9A5AE9CF090C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CB84-44FC-875E-9A5AE9CF090C}"/>
              </c:ext>
            </c:extLst>
          </c:dPt>
          <c:dPt>
            <c:idx val="7"/>
            <c:bubble3D val="0"/>
            <c:spPr>
              <a:solidFill>
                <a:srgbClr val="C0504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E-CB84-44FC-875E-9A5AE9CF090C}"/>
              </c:ext>
            </c:extLst>
          </c:dPt>
          <c:dPt>
            <c:idx val="8"/>
            <c:bubble3D val="0"/>
            <c:spPr>
              <a:solidFill>
                <a:srgbClr val="9BBB5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0-CB84-44FC-875E-9A5AE9CF090C}"/>
              </c:ext>
            </c:extLst>
          </c:dPt>
          <c:dPt>
            <c:idx val="10"/>
            <c:bubble3D val="0"/>
            <c:spPr>
              <a:solidFill>
                <a:srgbClr val="8064A2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2-CB84-44FC-875E-9A5AE9CF090C}"/>
              </c:ext>
            </c:extLst>
          </c:dPt>
          <c:dPt>
            <c:idx val="11"/>
            <c:bubble3D val="0"/>
            <c:spPr>
              <a:solidFill>
                <a:srgbClr val="4BACC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4-CB84-44FC-875E-9A5AE9CF090C}"/>
              </c:ext>
            </c:extLst>
          </c:dPt>
          <c:dPt>
            <c:idx val="12"/>
            <c:bubble3D val="0"/>
            <c:spPr>
              <a:solidFill>
                <a:srgbClr val="F7964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6-CB84-44FC-875E-9A5AE9CF090C}"/>
              </c:ext>
            </c:extLst>
          </c:dPt>
          <c:dPt>
            <c:idx val="13"/>
            <c:bubble3D val="0"/>
            <c:spPr>
              <a:solidFill>
                <a:srgbClr val="AABA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CB84-44FC-875E-9A5AE9CF090C}"/>
              </c:ext>
            </c:extLst>
          </c:dPt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'2025 H1'!$B$12:$B$24</c:f>
              <c:strCache>
                <c:ptCount val="13"/>
                <c:pt idx="0">
                  <c:v>Scope 1</c:v>
                </c:pt>
                <c:pt idx="7">
                  <c:v>Scope 2</c:v>
                </c:pt>
                <c:pt idx="12">
                  <c:v>Business travel - scope 3</c:v>
                </c:pt>
              </c:strCache>
            </c:strRef>
          </c:cat>
          <c:val>
            <c:numRef>
              <c:f>'2025 H1'!$G$12:$G$24</c:f>
              <c:numCache>
                <c:formatCode>General</c:formatCode>
                <c:ptCount val="13"/>
                <c:pt idx="0" formatCode="0.00">
                  <c:v>589.18410100000006</c:v>
                </c:pt>
                <c:pt idx="7" formatCode="0.00">
                  <c:v>0</c:v>
                </c:pt>
                <c:pt idx="12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CB84-44FC-875E-9A5AE9CF0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50000000000001" l="0.70000000000000095" r="0.70000000000000095" t="0.750000000000001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285763582853203E-2"/>
          <c:y val="0.13388713469478999"/>
          <c:w val="0.41250009027342299"/>
          <c:h val="0.77731244709928804"/>
        </c:manualLayout>
      </c:layout>
      <c:pieChart>
        <c:varyColors val="1"/>
        <c:ser>
          <c:idx val="0"/>
          <c:order val="0"/>
          <c:spPr>
            <a:gradFill rotWithShape="0">
              <a:gsLst>
                <a:gs pos="0">
                  <a:srgbClr val="3A7CCB"/>
                </a:gs>
                <a:gs pos="20000">
                  <a:srgbClr val="3C7BC7"/>
                </a:gs>
                <a:gs pos="100000">
                  <a:srgbClr val="2C5D98"/>
                </a:gs>
              </a:gsLst>
              <a:lin ang="5400000"/>
            </a:gra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dPt>
            <c:idx val="0"/>
            <c:bubble3D val="0"/>
            <c:spPr>
              <a:gradFill rotWithShape="0">
                <a:gsLst>
                  <a:gs pos="0">
                    <a:srgbClr val="2E65A7"/>
                  </a:gs>
                  <a:gs pos="20000">
                    <a:srgbClr val="3065A4"/>
                  </a:gs>
                  <a:gs pos="100000">
                    <a:srgbClr val="224B7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47F-47D7-AE6D-FD9969F961AA}"/>
              </c:ext>
            </c:extLst>
          </c:dPt>
          <c:dPt>
            <c:idx val="1"/>
            <c:bubble3D val="0"/>
            <c:spPr>
              <a:gradFill rotWithShape="0">
                <a:gsLst>
                  <a:gs pos="0">
                    <a:srgbClr val="AA2F2C"/>
                  </a:gs>
                  <a:gs pos="20000">
                    <a:srgbClr val="A7312E"/>
                  </a:gs>
                  <a:gs pos="100000">
                    <a:srgbClr val="7F2321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F47F-47D7-AE6D-FD9969F961AA}"/>
              </c:ext>
            </c:extLst>
          </c:dPt>
          <c:dPt>
            <c:idx val="2"/>
            <c:bubble3D val="0"/>
            <c:spPr>
              <a:gradFill rotWithShape="0">
                <a:gsLst>
                  <a:gs pos="0">
                    <a:srgbClr val="80A438"/>
                  </a:gs>
                  <a:gs pos="20000">
                    <a:srgbClr val="7FA13A"/>
                  </a:gs>
                  <a:gs pos="100000">
                    <a:srgbClr val="607A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F47F-47D7-AE6D-FD9969F961AA}"/>
              </c:ext>
            </c:extLst>
          </c:dPt>
          <c:dPt>
            <c:idx val="3"/>
            <c:bubble3D val="0"/>
            <c:spPr>
              <a:gradFill rotWithShape="0">
                <a:gsLst>
                  <a:gs pos="0">
                    <a:srgbClr val="65468A"/>
                  </a:gs>
                  <a:gs pos="20000">
                    <a:srgbClr val="644788"/>
                  </a:gs>
                  <a:gs pos="100000">
                    <a:srgbClr val="4B346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F47F-47D7-AE6D-FD9969F961AA}"/>
              </c:ext>
            </c:extLst>
          </c:dPt>
          <c:dPt>
            <c:idx val="4"/>
            <c:bubble3D val="0"/>
            <c:spPr>
              <a:gradFill rotWithShape="0">
                <a:gsLst>
                  <a:gs pos="0">
                    <a:srgbClr val="2994B0"/>
                  </a:gs>
                  <a:gs pos="20000">
                    <a:srgbClr val="2B91AD"/>
                  </a:gs>
                  <a:gs pos="100000">
                    <a:srgbClr val="1F6E83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F47F-47D7-AE6D-FD9969F961AA}"/>
              </c:ext>
            </c:extLst>
          </c:dPt>
          <c:dPt>
            <c:idx val="5"/>
            <c:bubble3D val="0"/>
            <c:spPr>
              <a:gradFill rotWithShape="0">
                <a:gsLst>
                  <a:gs pos="0">
                    <a:srgbClr val="E0751D"/>
                  </a:gs>
                  <a:gs pos="20000">
                    <a:srgbClr val="DB7521"/>
                  </a:gs>
                  <a:gs pos="100000">
                    <a:srgbClr val="A85816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F47F-47D7-AE6D-FD9969F961AA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F47F-47D7-AE6D-FD9969F961AA}"/>
              </c:ext>
            </c:extLst>
          </c:dPt>
          <c:dPt>
            <c:idx val="7"/>
            <c:bubble3D val="0"/>
            <c:spPr>
              <a:gradFill rotWithShape="0">
                <a:gsLst>
                  <a:gs pos="0">
                    <a:srgbClr val="CE3B37"/>
                  </a:gs>
                  <a:gs pos="20000">
                    <a:srgbClr val="CB3D3A"/>
                  </a:gs>
                  <a:gs pos="100000">
                    <a:srgbClr val="9B2D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F47F-47D7-AE6D-FD9969F961AA}"/>
              </c:ext>
            </c:extLst>
          </c:dPt>
          <c:dPt>
            <c:idx val="8"/>
            <c:bubble3D val="0"/>
            <c:spPr>
              <a:gradFill rotWithShape="0">
                <a:gsLst>
                  <a:gs pos="0">
                    <a:srgbClr val="DB9D9D"/>
                  </a:gs>
                  <a:gs pos="20000">
                    <a:srgbClr val="D99E9D"/>
                  </a:gs>
                  <a:gs pos="100000">
                    <a:srgbClr val="A6787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F47F-47D7-AE6D-FD9969F961AA}"/>
              </c:ext>
            </c:extLst>
          </c:dPt>
          <c:dPt>
            <c:idx val="9"/>
            <c:bubble3D val="0"/>
            <c:spPr>
              <a:gradFill rotWithShape="0">
                <a:gsLst>
                  <a:gs pos="0">
                    <a:srgbClr val="9CC746"/>
                  </a:gs>
                  <a:gs pos="20000">
                    <a:srgbClr val="9BC348"/>
                  </a:gs>
                  <a:gs pos="100000">
                    <a:srgbClr val="769535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F47F-47D7-AE6D-FD9969F961AA}"/>
              </c:ext>
            </c:extLst>
          </c:dPt>
          <c:dPt>
            <c:idx val="10"/>
            <c:bubble3D val="0"/>
            <c:spPr>
              <a:gradFill rotWithShape="0">
                <a:gsLst>
                  <a:gs pos="0">
                    <a:srgbClr val="7B57A8"/>
                  </a:gs>
                  <a:gs pos="20000">
                    <a:srgbClr val="7B58A6"/>
                  </a:gs>
                  <a:gs pos="100000">
                    <a:srgbClr val="5D417E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F47F-47D7-AE6D-FD9969F961AA}"/>
              </c:ext>
            </c:extLst>
          </c:dPt>
          <c:dPt>
            <c:idx val="11"/>
            <c:bubble3D val="0"/>
            <c:spPr>
              <a:gradFill rotWithShape="0">
                <a:gsLst>
                  <a:gs pos="0">
                    <a:srgbClr val="34B3D6"/>
                  </a:gs>
                  <a:gs pos="20000">
                    <a:srgbClr val="36B1D2"/>
                  </a:gs>
                  <a:gs pos="100000">
                    <a:srgbClr val="2787A0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F47F-47D7-AE6D-FD9969F961AA}"/>
              </c:ext>
            </c:extLst>
          </c:dPt>
          <c:dPt>
            <c:idx val="12"/>
            <c:bubble3D val="0"/>
            <c:spPr>
              <a:gradFill rotWithShape="0">
                <a:gsLst>
                  <a:gs pos="0">
                    <a:srgbClr val="FF8F26"/>
                  </a:gs>
                  <a:gs pos="20000">
                    <a:srgbClr val="FF8F2A"/>
                  </a:gs>
                  <a:gs pos="100000">
                    <a:srgbClr val="CB6C1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8-F47F-47D7-AE6D-FD9969F961AA}"/>
              </c:ext>
            </c:extLst>
          </c:dPt>
          <c:dPt>
            <c:idx val="13"/>
            <c:bubble3D val="0"/>
            <c:spPr>
              <a:gradFill rotWithShape="0">
                <a:gsLst>
                  <a:gs pos="0">
                    <a:srgbClr val="9DB3D9"/>
                  </a:gs>
                  <a:gs pos="20000">
                    <a:srgbClr val="9EB3D7"/>
                  </a:gs>
                  <a:gs pos="100000">
                    <a:srgbClr val="7888A4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A-F47F-47D7-AE6D-FD9969F961AA}"/>
              </c:ext>
            </c:extLst>
          </c:dPt>
          <c:dPt>
            <c:idx val="14"/>
            <c:bubble3D val="0"/>
            <c:spPr>
              <a:gradFill rotWithShape="0">
                <a:gsLst>
                  <a:gs pos="0">
                    <a:srgbClr val="C2D7A1"/>
                  </a:gs>
                  <a:gs pos="20000">
                    <a:srgbClr val="C1D5A1"/>
                  </a:gs>
                  <a:gs pos="100000">
                    <a:srgbClr val="93A37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C-F47F-47D7-AE6D-FD9969F961AA}"/>
              </c:ext>
            </c:extLst>
          </c:dPt>
          <c:dPt>
            <c:idx val="15"/>
            <c:bubble3D val="0"/>
            <c:spPr>
              <a:gradFill rotWithShape="0">
                <a:gsLst>
                  <a:gs pos="0">
                    <a:srgbClr val="B4A7C8"/>
                  </a:gs>
                  <a:gs pos="20000">
                    <a:srgbClr val="B3A6C6"/>
                  </a:gs>
                  <a:gs pos="100000">
                    <a:srgbClr val="887E9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E-F47F-47D7-AE6D-FD9969F961AA}"/>
              </c:ext>
            </c:extLst>
          </c:dPt>
          <c:dPt>
            <c:idx val="16"/>
            <c:bubble3D val="0"/>
            <c:spPr>
              <a:gradFill rotWithShape="0">
                <a:gsLst>
                  <a:gs pos="0">
                    <a:srgbClr val="9BCDDF"/>
                  </a:gs>
                  <a:gs pos="20000">
                    <a:srgbClr val="9CCBDD"/>
                  </a:gs>
                  <a:gs pos="100000">
                    <a:srgbClr val="769BA9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0-F47F-47D7-AE6D-FD9969F961AA}"/>
              </c:ext>
            </c:extLst>
          </c:dPt>
          <c:dLbls>
            <c:dLbl>
              <c:idx val="2"/>
              <c:layout>
                <c:manualLayout>
                  <c:x val="2.16640419947507E-3"/>
                  <c:y val="6.905741816491959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47F-47D7-AE6D-FD9969F961AA}"/>
                </c:ext>
              </c:extLst>
            </c:dLbl>
            <c:dLbl>
              <c:idx val="5"/>
              <c:layout>
                <c:manualLayout>
                  <c:x val="-1.1669291338582701E-3"/>
                  <c:y val="-3.037117064191870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47F-47D7-AE6D-FD9969F961AA}"/>
                </c:ext>
              </c:extLst>
            </c:dLbl>
            <c:dLbl>
              <c:idx val="6"/>
              <c:layout>
                <c:manualLayout>
                  <c:x val="7.8719160104986904E-2"/>
                  <c:y val="9.850510346188319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47F-47D7-AE6D-FD9969F961AA}"/>
                </c:ext>
              </c:extLst>
            </c:dLbl>
            <c:dLbl>
              <c:idx val="10"/>
              <c:layout>
                <c:manualLayout>
                  <c:x val="9.2958923884514405E-2"/>
                  <c:y val="8.108238416471119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F47F-47D7-AE6D-FD9969F961AA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'2025 H1'!$C$13:$C$28</c:f>
              <c:strCache>
                <c:ptCount val="16"/>
                <c:pt idx="0">
                  <c:v>Zakelijk verkeer: personenvervoer</c:v>
                </c:pt>
                <c:pt idx="1">
                  <c:v>Zakelijk verkeer: bedrijfsbusjes</c:v>
                </c:pt>
                <c:pt idx="2">
                  <c:v>Zakelijk verkeer: vrachtverkeer</c:v>
                </c:pt>
                <c:pt idx="3">
                  <c:v>Overige energiedragers</c:v>
                </c:pt>
                <c:pt idx="4">
                  <c:v>Verwarming, gas</c:v>
                </c:pt>
                <c:pt idx="7">
                  <c:v>Elektriciteitsverbruik</c:v>
                </c:pt>
                <c:pt idx="8">
                  <c:v>Zakelijk verkeer: electr. wagenpark</c:v>
                </c:pt>
                <c:pt idx="9">
                  <c:v>Overige energie: stadswarmte</c:v>
                </c:pt>
                <c:pt idx="12">
                  <c:v>Zakelijk verkeer: priveauto's</c:v>
                </c:pt>
                <c:pt idx="13">
                  <c:v>Zakelijk verkeer: OV</c:v>
                </c:pt>
                <c:pt idx="14">
                  <c:v>Personenvervoer vliegtuig</c:v>
                </c:pt>
                <c:pt idx="15">
                  <c:v>Anders namelijk…</c:v>
                </c:pt>
              </c:strCache>
            </c:strRef>
          </c:cat>
          <c:val>
            <c:numRef>
              <c:f>'2025 H1'!$F$13:$F$28</c:f>
              <c:numCache>
                <c:formatCode>0.00</c:formatCode>
                <c:ptCount val="16"/>
                <c:pt idx="0">
                  <c:v>0</c:v>
                </c:pt>
                <c:pt idx="1">
                  <c:v>589.18410100000006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F47F-47D7-AE6D-FD9969F961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egendEntry>
        <c:idx val="4"/>
        <c:delete val="1"/>
      </c:legendEntry>
      <c:legendEntry>
        <c:idx val="5"/>
        <c:delete val="1"/>
      </c:legendEntry>
      <c:legendEntry>
        <c:idx val="9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0.56522528433945762"/>
          <c:y val="1.7839423032647236E-2"/>
          <c:w val="0.3572136295463067"/>
          <c:h val="0.97904953492655511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1" l="0.75" r="0.75" t="1" header="0.5" footer="0.5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22725695323369"/>
          <c:y val="6.2547823116368098E-2"/>
          <c:w val="0.55266990202020605"/>
          <c:h val="0.87490435376726305"/>
        </c:manualLayout>
      </c:layout>
      <c:pieChart>
        <c:varyColors val="1"/>
        <c:ser>
          <c:idx val="0"/>
          <c:order val="0"/>
          <c:tx>
            <c:strRef>
              <c:f>'2026 H1'!$F$12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0699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E7A-CD44-B086-51D58D0FFF94}"/>
              </c:ext>
            </c:extLst>
          </c:dPt>
          <c:dPt>
            <c:idx val="1"/>
            <c:bubble3D val="0"/>
            <c:spPr>
              <a:solidFill>
                <a:srgbClr val="9E41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E7A-CD44-B086-51D58D0FFF94}"/>
              </c:ext>
            </c:extLst>
          </c:dPt>
          <c:dPt>
            <c:idx val="2"/>
            <c:bubble3D val="0"/>
            <c:spPr>
              <a:solidFill>
                <a:srgbClr val="7F9A4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E7A-CD44-B086-51D58D0FFF94}"/>
              </c:ext>
            </c:extLst>
          </c:dPt>
          <c:dPt>
            <c:idx val="3"/>
            <c:bubble3D val="0"/>
            <c:spPr>
              <a:solidFill>
                <a:srgbClr val="69518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E7A-CD44-B086-51D58D0FFF94}"/>
              </c:ext>
            </c:extLst>
          </c:dPt>
          <c:dPt>
            <c:idx val="4"/>
            <c:bubble3D val="0"/>
            <c:spPr>
              <a:solidFill>
                <a:srgbClr val="3C8DA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E7A-CD44-B086-51D58D0FFF94}"/>
              </c:ext>
            </c:extLst>
          </c:dPt>
          <c:dPt>
            <c:idx val="5"/>
            <c:bubble3D val="0"/>
            <c:spPr>
              <a:solidFill>
                <a:srgbClr val="CC7B3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E7A-CD44-B086-51D58D0FFF9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6E7A-CD44-B086-51D58D0FFF94}"/>
              </c:ext>
            </c:extLst>
          </c:dPt>
          <c:dPt>
            <c:idx val="7"/>
            <c:bubble3D val="0"/>
            <c:spPr>
              <a:solidFill>
                <a:srgbClr val="C0504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E-6E7A-CD44-B086-51D58D0FFF94}"/>
              </c:ext>
            </c:extLst>
          </c:dPt>
          <c:dPt>
            <c:idx val="8"/>
            <c:bubble3D val="0"/>
            <c:spPr>
              <a:solidFill>
                <a:srgbClr val="9BBB5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0-6E7A-CD44-B086-51D58D0FFF94}"/>
              </c:ext>
            </c:extLst>
          </c:dPt>
          <c:dPt>
            <c:idx val="10"/>
            <c:bubble3D val="0"/>
            <c:spPr>
              <a:solidFill>
                <a:srgbClr val="8064A2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2-6E7A-CD44-B086-51D58D0FFF94}"/>
              </c:ext>
            </c:extLst>
          </c:dPt>
          <c:dPt>
            <c:idx val="11"/>
            <c:bubble3D val="0"/>
            <c:spPr>
              <a:solidFill>
                <a:srgbClr val="4BACC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4-6E7A-CD44-B086-51D58D0FFF94}"/>
              </c:ext>
            </c:extLst>
          </c:dPt>
          <c:dPt>
            <c:idx val="12"/>
            <c:bubble3D val="0"/>
            <c:spPr>
              <a:solidFill>
                <a:srgbClr val="F7964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6-6E7A-CD44-B086-51D58D0FFF94}"/>
              </c:ext>
            </c:extLst>
          </c:dPt>
          <c:dPt>
            <c:idx val="13"/>
            <c:bubble3D val="0"/>
            <c:spPr>
              <a:solidFill>
                <a:srgbClr val="AABA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6E7A-CD44-B086-51D58D0FFF94}"/>
              </c:ext>
            </c:extLst>
          </c:dPt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'2026 H1'!$B$12:$B$24</c:f>
              <c:strCache>
                <c:ptCount val="13"/>
                <c:pt idx="0">
                  <c:v>Scope 1</c:v>
                </c:pt>
                <c:pt idx="7">
                  <c:v>Scope 2</c:v>
                </c:pt>
                <c:pt idx="12">
                  <c:v>Business travel - scope 3</c:v>
                </c:pt>
              </c:strCache>
            </c:strRef>
          </c:cat>
          <c:val>
            <c:numRef>
              <c:f>'2026 H1'!$G$12:$G$24</c:f>
              <c:numCache>
                <c:formatCode>General</c:formatCode>
                <c:ptCount val="13"/>
                <c:pt idx="0" formatCode="0.00">
                  <c:v>0</c:v>
                </c:pt>
                <c:pt idx="7" formatCode="0.00">
                  <c:v>0</c:v>
                </c:pt>
                <c:pt idx="12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6E7A-CD44-B086-51D58D0FFF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50000000000001" l="0.70000000000000095" r="0.70000000000000095" t="0.750000000000001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22725695323369"/>
          <c:y val="6.2547823116368098E-2"/>
          <c:w val="0.55266990202020605"/>
          <c:h val="0.87490435376726305"/>
        </c:manualLayout>
      </c:layout>
      <c:pieChart>
        <c:varyColors val="1"/>
        <c:ser>
          <c:idx val="0"/>
          <c:order val="0"/>
          <c:tx>
            <c:strRef>
              <c:f>'2024'!$F$12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0699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6AC-4D6E-B1CB-D14BCB96F5BD}"/>
              </c:ext>
            </c:extLst>
          </c:dPt>
          <c:dPt>
            <c:idx val="1"/>
            <c:bubble3D val="0"/>
            <c:spPr>
              <a:solidFill>
                <a:srgbClr val="9E41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6AC-4D6E-B1CB-D14BCB96F5BD}"/>
              </c:ext>
            </c:extLst>
          </c:dPt>
          <c:dPt>
            <c:idx val="2"/>
            <c:bubble3D val="0"/>
            <c:spPr>
              <a:solidFill>
                <a:srgbClr val="7F9A4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6AC-4D6E-B1CB-D14BCB96F5BD}"/>
              </c:ext>
            </c:extLst>
          </c:dPt>
          <c:dPt>
            <c:idx val="3"/>
            <c:bubble3D val="0"/>
            <c:spPr>
              <a:solidFill>
                <a:srgbClr val="69518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6AC-4D6E-B1CB-D14BCB96F5BD}"/>
              </c:ext>
            </c:extLst>
          </c:dPt>
          <c:dPt>
            <c:idx val="4"/>
            <c:bubble3D val="0"/>
            <c:spPr>
              <a:solidFill>
                <a:srgbClr val="3C8DA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6AC-4D6E-B1CB-D14BCB96F5BD}"/>
              </c:ext>
            </c:extLst>
          </c:dPt>
          <c:dPt>
            <c:idx val="5"/>
            <c:bubble3D val="0"/>
            <c:spPr>
              <a:solidFill>
                <a:srgbClr val="CC7B3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6AC-4D6E-B1CB-D14BCB96F5BD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B6AC-4D6E-B1CB-D14BCB96F5BD}"/>
              </c:ext>
            </c:extLst>
          </c:dPt>
          <c:dPt>
            <c:idx val="7"/>
            <c:bubble3D val="0"/>
            <c:spPr>
              <a:solidFill>
                <a:srgbClr val="C0504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E-B6AC-4D6E-B1CB-D14BCB96F5BD}"/>
              </c:ext>
            </c:extLst>
          </c:dPt>
          <c:dPt>
            <c:idx val="8"/>
            <c:bubble3D val="0"/>
            <c:spPr>
              <a:solidFill>
                <a:srgbClr val="9BBB5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0-B6AC-4D6E-B1CB-D14BCB96F5BD}"/>
              </c:ext>
            </c:extLst>
          </c:dPt>
          <c:dPt>
            <c:idx val="10"/>
            <c:bubble3D val="0"/>
            <c:spPr>
              <a:solidFill>
                <a:srgbClr val="8064A2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2-B6AC-4D6E-B1CB-D14BCB96F5BD}"/>
              </c:ext>
            </c:extLst>
          </c:dPt>
          <c:dPt>
            <c:idx val="11"/>
            <c:bubble3D val="0"/>
            <c:spPr>
              <a:solidFill>
                <a:srgbClr val="4BACC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4-B6AC-4D6E-B1CB-D14BCB96F5BD}"/>
              </c:ext>
            </c:extLst>
          </c:dPt>
          <c:dPt>
            <c:idx val="12"/>
            <c:bubble3D val="0"/>
            <c:spPr>
              <a:solidFill>
                <a:srgbClr val="F7964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6-B6AC-4D6E-B1CB-D14BCB96F5BD}"/>
              </c:ext>
            </c:extLst>
          </c:dPt>
          <c:dPt>
            <c:idx val="13"/>
            <c:bubble3D val="0"/>
            <c:spPr>
              <a:solidFill>
                <a:srgbClr val="AABA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B6AC-4D6E-B1CB-D14BCB96F5BD}"/>
              </c:ext>
            </c:extLst>
          </c:dPt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'2024'!$B$12:$B$24</c:f>
              <c:strCache>
                <c:ptCount val="13"/>
                <c:pt idx="0">
                  <c:v>Scope 1</c:v>
                </c:pt>
                <c:pt idx="7">
                  <c:v>Scope 2</c:v>
                </c:pt>
                <c:pt idx="12">
                  <c:v>Business travel - scope 3</c:v>
                </c:pt>
              </c:strCache>
            </c:strRef>
          </c:cat>
          <c:val>
            <c:numRef>
              <c:f>'2024'!$G$12:$G$24</c:f>
              <c:numCache>
                <c:formatCode>General</c:formatCode>
                <c:ptCount val="13"/>
                <c:pt idx="0" formatCode="0.00">
                  <c:v>1253.20643</c:v>
                </c:pt>
                <c:pt idx="7" formatCode="0.00">
                  <c:v>55.940176000000001</c:v>
                </c:pt>
                <c:pt idx="12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B6AC-4D6E-B1CB-D14BCB96F5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50000000000001" l="0.70000000000000095" r="0.70000000000000095" t="0.750000000000001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285763582853203E-2"/>
          <c:y val="0.13388713469478999"/>
          <c:w val="0.41250009027342299"/>
          <c:h val="0.77731244709928804"/>
        </c:manualLayout>
      </c:layout>
      <c:pieChart>
        <c:varyColors val="1"/>
        <c:ser>
          <c:idx val="0"/>
          <c:order val="0"/>
          <c:spPr>
            <a:gradFill rotWithShape="0">
              <a:gsLst>
                <a:gs pos="0">
                  <a:srgbClr val="3A7CCB"/>
                </a:gs>
                <a:gs pos="20000">
                  <a:srgbClr val="3C7BC7"/>
                </a:gs>
                <a:gs pos="100000">
                  <a:srgbClr val="2C5D98"/>
                </a:gs>
              </a:gsLst>
              <a:lin ang="5400000"/>
            </a:gra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dPt>
            <c:idx val="0"/>
            <c:bubble3D val="0"/>
            <c:spPr>
              <a:gradFill rotWithShape="0">
                <a:gsLst>
                  <a:gs pos="0">
                    <a:srgbClr val="2E65A7"/>
                  </a:gs>
                  <a:gs pos="20000">
                    <a:srgbClr val="3065A4"/>
                  </a:gs>
                  <a:gs pos="100000">
                    <a:srgbClr val="224B7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230-A14A-B246-68CB9C3ABFBD}"/>
              </c:ext>
            </c:extLst>
          </c:dPt>
          <c:dPt>
            <c:idx val="1"/>
            <c:bubble3D val="0"/>
            <c:spPr>
              <a:gradFill rotWithShape="0">
                <a:gsLst>
                  <a:gs pos="0">
                    <a:srgbClr val="AA2F2C"/>
                  </a:gs>
                  <a:gs pos="20000">
                    <a:srgbClr val="A7312E"/>
                  </a:gs>
                  <a:gs pos="100000">
                    <a:srgbClr val="7F2321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230-A14A-B246-68CB9C3ABFBD}"/>
              </c:ext>
            </c:extLst>
          </c:dPt>
          <c:dPt>
            <c:idx val="2"/>
            <c:bubble3D val="0"/>
            <c:spPr>
              <a:gradFill rotWithShape="0">
                <a:gsLst>
                  <a:gs pos="0">
                    <a:srgbClr val="80A438"/>
                  </a:gs>
                  <a:gs pos="20000">
                    <a:srgbClr val="7FA13A"/>
                  </a:gs>
                  <a:gs pos="100000">
                    <a:srgbClr val="607A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230-A14A-B246-68CB9C3ABFBD}"/>
              </c:ext>
            </c:extLst>
          </c:dPt>
          <c:dPt>
            <c:idx val="3"/>
            <c:bubble3D val="0"/>
            <c:spPr>
              <a:gradFill rotWithShape="0">
                <a:gsLst>
                  <a:gs pos="0">
                    <a:srgbClr val="65468A"/>
                  </a:gs>
                  <a:gs pos="20000">
                    <a:srgbClr val="644788"/>
                  </a:gs>
                  <a:gs pos="100000">
                    <a:srgbClr val="4B346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4230-A14A-B246-68CB9C3ABFBD}"/>
              </c:ext>
            </c:extLst>
          </c:dPt>
          <c:dPt>
            <c:idx val="4"/>
            <c:bubble3D val="0"/>
            <c:spPr>
              <a:gradFill rotWithShape="0">
                <a:gsLst>
                  <a:gs pos="0">
                    <a:srgbClr val="2994B0"/>
                  </a:gs>
                  <a:gs pos="20000">
                    <a:srgbClr val="2B91AD"/>
                  </a:gs>
                  <a:gs pos="100000">
                    <a:srgbClr val="1F6E83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4230-A14A-B246-68CB9C3ABFBD}"/>
              </c:ext>
            </c:extLst>
          </c:dPt>
          <c:dPt>
            <c:idx val="5"/>
            <c:bubble3D val="0"/>
            <c:spPr>
              <a:gradFill rotWithShape="0">
                <a:gsLst>
                  <a:gs pos="0">
                    <a:srgbClr val="E0751D"/>
                  </a:gs>
                  <a:gs pos="20000">
                    <a:srgbClr val="DB7521"/>
                  </a:gs>
                  <a:gs pos="100000">
                    <a:srgbClr val="A85816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4230-A14A-B246-68CB9C3ABFBD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4230-A14A-B246-68CB9C3ABFBD}"/>
              </c:ext>
            </c:extLst>
          </c:dPt>
          <c:dPt>
            <c:idx val="7"/>
            <c:bubble3D val="0"/>
            <c:spPr>
              <a:gradFill rotWithShape="0">
                <a:gsLst>
                  <a:gs pos="0">
                    <a:srgbClr val="CE3B37"/>
                  </a:gs>
                  <a:gs pos="20000">
                    <a:srgbClr val="CB3D3A"/>
                  </a:gs>
                  <a:gs pos="100000">
                    <a:srgbClr val="9B2D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4230-A14A-B246-68CB9C3ABFBD}"/>
              </c:ext>
            </c:extLst>
          </c:dPt>
          <c:dPt>
            <c:idx val="8"/>
            <c:bubble3D val="0"/>
            <c:spPr>
              <a:gradFill rotWithShape="0">
                <a:gsLst>
                  <a:gs pos="0">
                    <a:srgbClr val="DB9D9D"/>
                  </a:gs>
                  <a:gs pos="20000">
                    <a:srgbClr val="D99E9D"/>
                  </a:gs>
                  <a:gs pos="100000">
                    <a:srgbClr val="A6787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4230-A14A-B246-68CB9C3ABFBD}"/>
              </c:ext>
            </c:extLst>
          </c:dPt>
          <c:dPt>
            <c:idx val="9"/>
            <c:bubble3D val="0"/>
            <c:spPr>
              <a:gradFill rotWithShape="0">
                <a:gsLst>
                  <a:gs pos="0">
                    <a:srgbClr val="9CC746"/>
                  </a:gs>
                  <a:gs pos="20000">
                    <a:srgbClr val="9BC348"/>
                  </a:gs>
                  <a:gs pos="100000">
                    <a:srgbClr val="769535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4230-A14A-B246-68CB9C3ABFBD}"/>
              </c:ext>
            </c:extLst>
          </c:dPt>
          <c:dPt>
            <c:idx val="10"/>
            <c:bubble3D val="0"/>
            <c:spPr>
              <a:gradFill rotWithShape="0">
                <a:gsLst>
                  <a:gs pos="0">
                    <a:srgbClr val="7B57A8"/>
                  </a:gs>
                  <a:gs pos="20000">
                    <a:srgbClr val="7B58A6"/>
                  </a:gs>
                  <a:gs pos="100000">
                    <a:srgbClr val="5D417E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4230-A14A-B246-68CB9C3ABFBD}"/>
              </c:ext>
            </c:extLst>
          </c:dPt>
          <c:dPt>
            <c:idx val="11"/>
            <c:bubble3D val="0"/>
            <c:spPr>
              <a:gradFill rotWithShape="0">
                <a:gsLst>
                  <a:gs pos="0">
                    <a:srgbClr val="34B3D6"/>
                  </a:gs>
                  <a:gs pos="20000">
                    <a:srgbClr val="36B1D2"/>
                  </a:gs>
                  <a:gs pos="100000">
                    <a:srgbClr val="2787A0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4230-A14A-B246-68CB9C3ABFBD}"/>
              </c:ext>
            </c:extLst>
          </c:dPt>
          <c:dPt>
            <c:idx val="12"/>
            <c:bubble3D val="0"/>
            <c:spPr>
              <a:gradFill rotWithShape="0">
                <a:gsLst>
                  <a:gs pos="0">
                    <a:srgbClr val="FF8F26"/>
                  </a:gs>
                  <a:gs pos="20000">
                    <a:srgbClr val="FF8F2A"/>
                  </a:gs>
                  <a:gs pos="100000">
                    <a:srgbClr val="CB6C1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8-4230-A14A-B246-68CB9C3ABFBD}"/>
              </c:ext>
            </c:extLst>
          </c:dPt>
          <c:dPt>
            <c:idx val="13"/>
            <c:bubble3D val="0"/>
            <c:spPr>
              <a:gradFill rotWithShape="0">
                <a:gsLst>
                  <a:gs pos="0">
                    <a:srgbClr val="9DB3D9"/>
                  </a:gs>
                  <a:gs pos="20000">
                    <a:srgbClr val="9EB3D7"/>
                  </a:gs>
                  <a:gs pos="100000">
                    <a:srgbClr val="7888A4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A-4230-A14A-B246-68CB9C3ABFBD}"/>
              </c:ext>
            </c:extLst>
          </c:dPt>
          <c:dPt>
            <c:idx val="14"/>
            <c:bubble3D val="0"/>
            <c:spPr>
              <a:gradFill rotWithShape="0">
                <a:gsLst>
                  <a:gs pos="0">
                    <a:srgbClr val="C2D7A1"/>
                  </a:gs>
                  <a:gs pos="20000">
                    <a:srgbClr val="C1D5A1"/>
                  </a:gs>
                  <a:gs pos="100000">
                    <a:srgbClr val="93A37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C-4230-A14A-B246-68CB9C3ABFBD}"/>
              </c:ext>
            </c:extLst>
          </c:dPt>
          <c:dPt>
            <c:idx val="15"/>
            <c:bubble3D val="0"/>
            <c:spPr>
              <a:gradFill rotWithShape="0">
                <a:gsLst>
                  <a:gs pos="0">
                    <a:srgbClr val="B4A7C8"/>
                  </a:gs>
                  <a:gs pos="20000">
                    <a:srgbClr val="B3A6C6"/>
                  </a:gs>
                  <a:gs pos="100000">
                    <a:srgbClr val="887E9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E-4230-A14A-B246-68CB9C3ABFBD}"/>
              </c:ext>
            </c:extLst>
          </c:dPt>
          <c:dPt>
            <c:idx val="16"/>
            <c:bubble3D val="0"/>
            <c:spPr>
              <a:gradFill rotWithShape="0">
                <a:gsLst>
                  <a:gs pos="0">
                    <a:srgbClr val="9BCDDF"/>
                  </a:gs>
                  <a:gs pos="20000">
                    <a:srgbClr val="9CCBDD"/>
                  </a:gs>
                  <a:gs pos="100000">
                    <a:srgbClr val="769BA9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0-4230-A14A-B246-68CB9C3ABFBD}"/>
              </c:ext>
            </c:extLst>
          </c:dPt>
          <c:dLbls>
            <c:dLbl>
              <c:idx val="2"/>
              <c:layout>
                <c:manualLayout>
                  <c:x val="2.16640419947507E-3"/>
                  <c:y val="6.905741816491959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230-A14A-B246-68CB9C3ABFBD}"/>
                </c:ext>
              </c:extLst>
            </c:dLbl>
            <c:dLbl>
              <c:idx val="5"/>
              <c:layout>
                <c:manualLayout>
                  <c:x val="-1.1669291338582701E-3"/>
                  <c:y val="-3.037117064191870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230-A14A-B246-68CB9C3ABFBD}"/>
                </c:ext>
              </c:extLst>
            </c:dLbl>
            <c:dLbl>
              <c:idx val="6"/>
              <c:layout>
                <c:manualLayout>
                  <c:x val="7.8719160104986904E-2"/>
                  <c:y val="9.850510346188319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230-A14A-B246-68CB9C3ABFBD}"/>
                </c:ext>
              </c:extLst>
            </c:dLbl>
            <c:dLbl>
              <c:idx val="10"/>
              <c:layout>
                <c:manualLayout>
                  <c:x val="9.2958923884514405E-2"/>
                  <c:y val="8.108238416471119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230-A14A-B246-68CB9C3ABFBD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'2026 H1'!$C$13:$C$28</c:f>
              <c:strCache>
                <c:ptCount val="16"/>
                <c:pt idx="0">
                  <c:v>Zakelijk verkeer: personenvervoer</c:v>
                </c:pt>
                <c:pt idx="1">
                  <c:v>Zakelijk verkeer: bedrijfsbusjes</c:v>
                </c:pt>
                <c:pt idx="2">
                  <c:v>Zakelijk verkeer: vrachtverkeer</c:v>
                </c:pt>
                <c:pt idx="3">
                  <c:v>Overige energiedragers</c:v>
                </c:pt>
                <c:pt idx="4">
                  <c:v>Verwarming, gas</c:v>
                </c:pt>
                <c:pt idx="7">
                  <c:v>Elektriciteitsverbruik</c:v>
                </c:pt>
                <c:pt idx="8">
                  <c:v>Zakelijk verkeer: electr. wagenpark</c:v>
                </c:pt>
                <c:pt idx="9">
                  <c:v>Overige energie: stadswarmte</c:v>
                </c:pt>
                <c:pt idx="12">
                  <c:v>Zakelijk verkeer: priveauto's</c:v>
                </c:pt>
                <c:pt idx="13">
                  <c:v>Zakelijk verkeer: OV</c:v>
                </c:pt>
                <c:pt idx="14">
                  <c:v>Personenvervoer vliegtuig</c:v>
                </c:pt>
                <c:pt idx="15">
                  <c:v>Anders namelijk…</c:v>
                </c:pt>
              </c:strCache>
            </c:strRef>
          </c:cat>
          <c:val>
            <c:numRef>
              <c:f>'2026 H1'!$F$13:$F$28</c:f>
              <c:numCache>
                <c:formatCode>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4230-A14A-B246-68CB9C3ABF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egendEntry>
        <c:idx val="4"/>
        <c:delete val="1"/>
      </c:legendEntry>
      <c:legendEntry>
        <c:idx val="5"/>
        <c:delete val="1"/>
      </c:legendEntry>
      <c:legendEntry>
        <c:idx val="9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0.56522528433945762"/>
          <c:y val="1.4184452272413316E-2"/>
          <c:w val="0.3572136295463067"/>
          <c:h val="0.98581554772758673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285763582853203E-2"/>
          <c:y val="0.13388713469478999"/>
          <c:w val="0.41250009027342299"/>
          <c:h val="0.77731244709928804"/>
        </c:manualLayout>
      </c:layout>
      <c:pieChart>
        <c:varyColors val="1"/>
        <c:ser>
          <c:idx val="0"/>
          <c:order val="0"/>
          <c:spPr>
            <a:gradFill rotWithShape="0">
              <a:gsLst>
                <a:gs pos="0">
                  <a:srgbClr val="3A7CCB"/>
                </a:gs>
                <a:gs pos="20000">
                  <a:srgbClr val="3C7BC7"/>
                </a:gs>
                <a:gs pos="100000">
                  <a:srgbClr val="2C5D98"/>
                </a:gs>
              </a:gsLst>
              <a:lin ang="5400000"/>
            </a:gra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dPt>
            <c:idx val="0"/>
            <c:bubble3D val="0"/>
            <c:spPr>
              <a:gradFill rotWithShape="0">
                <a:gsLst>
                  <a:gs pos="0">
                    <a:srgbClr val="2E65A7"/>
                  </a:gs>
                  <a:gs pos="20000">
                    <a:srgbClr val="3065A4"/>
                  </a:gs>
                  <a:gs pos="100000">
                    <a:srgbClr val="224B7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310-4641-B249-ACADDAA1EA35}"/>
              </c:ext>
            </c:extLst>
          </c:dPt>
          <c:dPt>
            <c:idx val="1"/>
            <c:bubble3D val="0"/>
            <c:spPr>
              <a:gradFill rotWithShape="0">
                <a:gsLst>
                  <a:gs pos="0">
                    <a:srgbClr val="AA2F2C"/>
                  </a:gs>
                  <a:gs pos="20000">
                    <a:srgbClr val="A7312E"/>
                  </a:gs>
                  <a:gs pos="100000">
                    <a:srgbClr val="7F2321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310-4641-B249-ACADDAA1EA35}"/>
              </c:ext>
            </c:extLst>
          </c:dPt>
          <c:dPt>
            <c:idx val="2"/>
            <c:bubble3D val="0"/>
            <c:spPr>
              <a:gradFill rotWithShape="0">
                <a:gsLst>
                  <a:gs pos="0">
                    <a:srgbClr val="80A438"/>
                  </a:gs>
                  <a:gs pos="20000">
                    <a:srgbClr val="7FA13A"/>
                  </a:gs>
                  <a:gs pos="100000">
                    <a:srgbClr val="607A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310-4641-B249-ACADDAA1EA35}"/>
              </c:ext>
            </c:extLst>
          </c:dPt>
          <c:dPt>
            <c:idx val="3"/>
            <c:bubble3D val="0"/>
            <c:spPr>
              <a:gradFill rotWithShape="0">
                <a:gsLst>
                  <a:gs pos="0">
                    <a:srgbClr val="65468A"/>
                  </a:gs>
                  <a:gs pos="20000">
                    <a:srgbClr val="644788"/>
                  </a:gs>
                  <a:gs pos="100000">
                    <a:srgbClr val="4B346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B310-4641-B249-ACADDAA1EA35}"/>
              </c:ext>
            </c:extLst>
          </c:dPt>
          <c:dPt>
            <c:idx val="4"/>
            <c:bubble3D val="0"/>
            <c:spPr>
              <a:gradFill rotWithShape="0">
                <a:gsLst>
                  <a:gs pos="0">
                    <a:srgbClr val="2994B0"/>
                  </a:gs>
                  <a:gs pos="20000">
                    <a:srgbClr val="2B91AD"/>
                  </a:gs>
                  <a:gs pos="100000">
                    <a:srgbClr val="1F6E83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B310-4641-B249-ACADDAA1EA35}"/>
              </c:ext>
            </c:extLst>
          </c:dPt>
          <c:dPt>
            <c:idx val="5"/>
            <c:bubble3D val="0"/>
            <c:spPr>
              <a:gradFill rotWithShape="0">
                <a:gsLst>
                  <a:gs pos="0">
                    <a:srgbClr val="E0751D"/>
                  </a:gs>
                  <a:gs pos="20000">
                    <a:srgbClr val="DB7521"/>
                  </a:gs>
                  <a:gs pos="100000">
                    <a:srgbClr val="A85816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B310-4641-B249-ACADDAA1EA35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B310-4641-B249-ACADDAA1EA35}"/>
              </c:ext>
            </c:extLst>
          </c:dPt>
          <c:dPt>
            <c:idx val="7"/>
            <c:bubble3D val="0"/>
            <c:spPr>
              <a:gradFill rotWithShape="0">
                <a:gsLst>
                  <a:gs pos="0">
                    <a:srgbClr val="CE3B37"/>
                  </a:gs>
                  <a:gs pos="20000">
                    <a:srgbClr val="CB3D3A"/>
                  </a:gs>
                  <a:gs pos="100000">
                    <a:srgbClr val="9B2D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B310-4641-B249-ACADDAA1EA35}"/>
              </c:ext>
            </c:extLst>
          </c:dPt>
          <c:dPt>
            <c:idx val="8"/>
            <c:bubble3D val="0"/>
            <c:spPr>
              <a:gradFill rotWithShape="0">
                <a:gsLst>
                  <a:gs pos="0">
                    <a:srgbClr val="DB9D9D"/>
                  </a:gs>
                  <a:gs pos="20000">
                    <a:srgbClr val="D99E9D"/>
                  </a:gs>
                  <a:gs pos="100000">
                    <a:srgbClr val="A6787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B310-4641-B249-ACADDAA1EA35}"/>
              </c:ext>
            </c:extLst>
          </c:dPt>
          <c:dPt>
            <c:idx val="9"/>
            <c:bubble3D val="0"/>
            <c:spPr>
              <a:gradFill rotWithShape="0">
                <a:gsLst>
                  <a:gs pos="0">
                    <a:srgbClr val="9CC746"/>
                  </a:gs>
                  <a:gs pos="20000">
                    <a:srgbClr val="9BC348"/>
                  </a:gs>
                  <a:gs pos="100000">
                    <a:srgbClr val="769535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B310-4641-B249-ACADDAA1EA35}"/>
              </c:ext>
            </c:extLst>
          </c:dPt>
          <c:dPt>
            <c:idx val="10"/>
            <c:bubble3D val="0"/>
            <c:spPr>
              <a:gradFill rotWithShape="0">
                <a:gsLst>
                  <a:gs pos="0">
                    <a:srgbClr val="7B57A8"/>
                  </a:gs>
                  <a:gs pos="20000">
                    <a:srgbClr val="7B58A6"/>
                  </a:gs>
                  <a:gs pos="100000">
                    <a:srgbClr val="5D417E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B310-4641-B249-ACADDAA1EA35}"/>
              </c:ext>
            </c:extLst>
          </c:dPt>
          <c:dPt>
            <c:idx val="11"/>
            <c:bubble3D val="0"/>
            <c:spPr>
              <a:gradFill rotWithShape="0">
                <a:gsLst>
                  <a:gs pos="0">
                    <a:srgbClr val="34B3D6"/>
                  </a:gs>
                  <a:gs pos="20000">
                    <a:srgbClr val="36B1D2"/>
                  </a:gs>
                  <a:gs pos="100000">
                    <a:srgbClr val="2787A0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B310-4641-B249-ACADDAA1EA35}"/>
              </c:ext>
            </c:extLst>
          </c:dPt>
          <c:dPt>
            <c:idx val="12"/>
            <c:bubble3D val="0"/>
            <c:spPr>
              <a:gradFill rotWithShape="0">
                <a:gsLst>
                  <a:gs pos="0">
                    <a:srgbClr val="FF8F26"/>
                  </a:gs>
                  <a:gs pos="20000">
                    <a:srgbClr val="FF8F2A"/>
                  </a:gs>
                  <a:gs pos="100000">
                    <a:srgbClr val="CB6C1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8-B310-4641-B249-ACADDAA1EA35}"/>
              </c:ext>
            </c:extLst>
          </c:dPt>
          <c:dPt>
            <c:idx val="13"/>
            <c:bubble3D val="0"/>
            <c:spPr>
              <a:gradFill rotWithShape="0">
                <a:gsLst>
                  <a:gs pos="0">
                    <a:srgbClr val="9DB3D9"/>
                  </a:gs>
                  <a:gs pos="20000">
                    <a:srgbClr val="9EB3D7"/>
                  </a:gs>
                  <a:gs pos="100000">
                    <a:srgbClr val="7888A4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A-B310-4641-B249-ACADDAA1EA35}"/>
              </c:ext>
            </c:extLst>
          </c:dPt>
          <c:dPt>
            <c:idx val="14"/>
            <c:bubble3D val="0"/>
            <c:spPr>
              <a:gradFill rotWithShape="0">
                <a:gsLst>
                  <a:gs pos="0">
                    <a:srgbClr val="C2D7A1"/>
                  </a:gs>
                  <a:gs pos="20000">
                    <a:srgbClr val="C1D5A1"/>
                  </a:gs>
                  <a:gs pos="100000">
                    <a:srgbClr val="93A37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C-B310-4641-B249-ACADDAA1EA35}"/>
              </c:ext>
            </c:extLst>
          </c:dPt>
          <c:dPt>
            <c:idx val="15"/>
            <c:bubble3D val="0"/>
            <c:spPr>
              <a:gradFill rotWithShape="0">
                <a:gsLst>
                  <a:gs pos="0">
                    <a:srgbClr val="B4A7C8"/>
                  </a:gs>
                  <a:gs pos="20000">
                    <a:srgbClr val="B3A6C6"/>
                  </a:gs>
                  <a:gs pos="100000">
                    <a:srgbClr val="887E9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E-B310-4641-B249-ACADDAA1EA35}"/>
              </c:ext>
            </c:extLst>
          </c:dPt>
          <c:dPt>
            <c:idx val="16"/>
            <c:bubble3D val="0"/>
            <c:spPr>
              <a:gradFill rotWithShape="0">
                <a:gsLst>
                  <a:gs pos="0">
                    <a:srgbClr val="9BCDDF"/>
                  </a:gs>
                  <a:gs pos="20000">
                    <a:srgbClr val="9CCBDD"/>
                  </a:gs>
                  <a:gs pos="100000">
                    <a:srgbClr val="769BA9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0-B310-4641-B249-ACADDAA1EA35}"/>
              </c:ext>
            </c:extLst>
          </c:dPt>
          <c:dLbls>
            <c:dLbl>
              <c:idx val="2"/>
              <c:layout>
                <c:manualLayout>
                  <c:x val="2.16640419947507E-3"/>
                  <c:y val="6.905741816491959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310-4641-B249-ACADDAA1EA35}"/>
                </c:ext>
              </c:extLst>
            </c:dLbl>
            <c:dLbl>
              <c:idx val="5"/>
              <c:layout>
                <c:manualLayout>
                  <c:x val="-1.1669291338582701E-3"/>
                  <c:y val="-3.037117064191870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310-4641-B249-ACADDAA1EA35}"/>
                </c:ext>
              </c:extLst>
            </c:dLbl>
            <c:dLbl>
              <c:idx val="6"/>
              <c:layout>
                <c:manualLayout>
                  <c:x val="7.8719160104986904E-2"/>
                  <c:y val="9.850510346188319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310-4641-B249-ACADDAA1EA35}"/>
                </c:ext>
              </c:extLst>
            </c:dLbl>
            <c:dLbl>
              <c:idx val="10"/>
              <c:layout>
                <c:manualLayout>
                  <c:x val="9.2958923884514405E-2"/>
                  <c:y val="8.108238416471119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B310-4641-B249-ACADDAA1EA35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'2024'!$C$13:$C$28</c:f>
              <c:strCache>
                <c:ptCount val="16"/>
                <c:pt idx="0">
                  <c:v>Zakelijk verkeer: personenvervoer</c:v>
                </c:pt>
                <c:pt idx="1">
                  <c:v>Zakelijk verkeer: bergingsvoertuigen</c:v>
                </c:pt>
                <c:pt idx="2">
                  <c:v>Zakelijk verkeer: vrachtverkeer</c:v>
                </c:pt>
                <c:pt idx="3">
                  <c:v>Overige energiedragers</c:v>
                </c:pt>
                <c:pt idx="4">
                  <c:v>Verwarming, gas</c:v>
                </c:pt>
                <c:pt idx="7">
                  <c:v>Elektriciteitsverbruik</c:v>
                </c:pt>
                <c:pt idx="8">
                  <c:v>Zakelijk verkeer: electr. wagenpark</c:v>
                </c:pt>
                <c:pt idx="9">
                  <c:v>Overige energie: stadswarmte</c:v>
                </c:pt>
                <c:pt idx="12">
                  <c:v>Zakelijk verkeer: priveauto's</c:v>
                </c:pt>
                <c:pt idx="13">
                  <c:v>Zakelijk verkeer: OV</c:v>
                </c:pt>
                <c:pt idx="14">
                  <c:v>Personenvervoer vliegtuig</c:v>
                </c:pt>
                <c:pt idx="15">
                  <c:v>Anders namelijk…</c:v>
                </c:pt>
              </c:strCache>
            </c:strRef>
          </c:cat>
          <c:val>
            <c:numRef>
              <c:f>'2024'!$F$13:$F$28</c:f>
              <c:numCache>
                <c:formatCode>0.00</c:formatCode>
                <c:ptCount val="16"/>
                <c:pt idx="0">
                  <c:v>17.478916000000002</c:v>
                </c:pt>
                <c:pt idx="1">
                  <c:v>1186.9698819999999</c:v>
                </c:pt>
                <c:pt idx="2">
                  <c:v>0</c:v>
                </c:pt>
                <c:pt idx="3">
                  <c:v>0</c:v>
                </c:pt>
                <c:pt idx="4">
                  <c:v>48.757632000000001</c:v>
                </c:pt>
                <c:pt idx="7">
                  <c:v>55.940176000000001</c:v>
                </c:pt>
                <c:pt idx="8">
                  <c:v>0</c:v>
                </c:pt>
                <c:pt idx="9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B310-4641-B249-ACADDAA1EA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egendEntry>
        <c:idx val="4"/>
        <c:delete val="1"/>
      </c:legendEntry>
      <c:legendEntry>
        <c:idx val="5"/>
        <c:delete val="1"/>
      </c:legendEntry>
      <c:legendEntry>
        <c:idx val="9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0.56661901637295342"/>
          <c:y val="1.4545344660864759E-2"/>
          <c:w val="0.35767497812773402"/>
          <c:h val="0.9709475871437123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22725695323369"/>
          <c:y val="6.2547823116368098E-2"/>
          <c:w val="0.55266990202020605"/>
          <c:h val="0.87490435376726305"/>
        </c:manualLayout>
      </c:layout>
      <c:pieChart>
        <c:varyColors val="1"/>
        <c:ser>
          <c:idx val="0"/>
          <c:order val="0"/>
          <c:tx>
            <c:strRef>
              <c:f>'2024 project'!$F$12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0699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52B-EE44-9023-17FEADCD02EB}"/>
              </c:ext>
            </c:extLst>
          </c:dPt>
          <c:dPt>
            <c:idx val="1"/>
            <c:bubble3D val="0"/>
            <c:spPr>
              <a:solidFill>
                <a:srgbClr val="9E41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52B-EE44-9023-17FEADCD02EB}"/>
              </c:ext>
            </c:extLst>
          </c:dPt>
          <c:dPt>
            <c:idx val="2"/>
            <c:bubble3D val="0"/>
            <c:spPr>
              <a:solidFill>
                <a:srgbClr val="7F9A4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52B-EE44-9023-17FEADCD02EB}"/>
              </c:ext>
            </c:extLst>
          </c:dPt>
          <c:dPt>
            <c:idx val="3"/>
            <c:bubble3D val="0"/>
            <c:spPr>
              <a:solidFill>
                <a:srgbClr val="69518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52B-EE44-9023-17FEADCD02EB}"/>
              </c:ext>
            </c:extLst>
          </c:dPt>
          <c:dPt>
            <c:idx val="4"/>
            <c:bubble3D val="0"/>
            <c:spPr>
              <a:solidFill>
                <a:srgbClr val="3C8DA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52B-EE44-9023-17FEADCD02EB}"/>
              </c:ext>
            </c:extLst>
          </c:dPt>
          <c:dPt>
            <c:idx val="5"/>
            <c:bubble3D val="0"/>
            <c:spPr>
              <a:solidFill>
                <a:srgbClr val="CC7B3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52B-EE44-9023-17FEADCD02EB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652B-EE44-9023-17FEADCD02EB}"/>
              </c:ext>
            </c:extLst>
          </c:dPt>
          <c:dPt>
            <c:idx val="7"/>
            <c:bubble3D val="0"/>
            <c:spPr>
              <a:solidFill>
                <a:srgbClr val="C0504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E-652B-EE44-9023-17FEADCD02EB}"/>
              </c:ext>
            </c:extLst>
          </c:dPt>
          <c:dPt>
            <c:idx val="8"/>
            <c:bubble3D val="0"/>
            <c:spPr>
              <a:solidFill>
                <a:srgbClr val="9BBB5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0-652B-EE44-9023-17FEADCD02EB}"/>
              </c:ext>
            </c:extLst>
          </c:dPt>
          <c:dPt>
            <c:idx val="10"/>
            <c:bubble3D val="0"/>
            <c:spPr>
              <a:solidFill>
                <a:srgbClr val="8064A2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2-652B-EE44-9023-17FEADCD02EB}"/>
              </c:ext>
            </c:extLst>
          </c:dPt>
          <c:dPt>
            <c:idx val="11"/>
            <c:bubble3D val="0"/>
            <c:spPr>
              <a:solidFill>
                <a:srgbClr val="4BACC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4-652B-EE44-9023-17FEADCD02EB}"/>
              </c:ext>
            </c:extLst>
          </c:dPt>
          <c:dPt>
            <c:idx val="12"/>
            <c:bubble3D val="0"/>
            <c:spPr>
              <a:solidFill>
                <a:srgbClr val="F7964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6-652B-EE44-9023-17FEADCD02EB}"/>
              </c:ext>
            </c:extLst>
          </c:dPt>
          <c:dPt>
            <c:idx val="13"/>
            <c:bubble3D val="0"/>
            <c:spPr>
              <a:solidFill>
                <a:srgbClr val="AABA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652B-EE44-9023-17FEADCD02EB}"/>
              </c:ext>
            </c:extLst>
          </c:dPt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 project'!$B$12:$B$24</c:f>
              <c:strCache>
                <c:ptCount val="13"/>
                <c:pt idx="0">
                  <c:v>Scope 1</c:v>
                </c:pt>
                <c:pt idx="7">
                  <c:v>Scope 2</c:v>
                </c:pt>
                <c:pt idx="12">
                  <c:v>Business travel - scope 3</c:v>
                </c:pt>
              </c:strCache>
            </c:strRef>
          </c:cat>
          <c:val>
            <c:numRef>
              <c:f>'2024 project'!$G$12:$G$24</c:f>
              <c:numCache>
                <c:formatCode>General</c:formatCode>
                <c:ptCount val="13"/>
                <c:pt idx="0" formatCode="0.00">
                  <c:v>19.280098923076917</c:v>
                </c:pt>
                <c:pt idx="7" formatCode="0.00">
                  <c:v>0.86061809230769226</c:v>
                </c:pt>
                <c:pt idx="12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652B-EE44-9023-17FEADCD02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50000000000001" l="0.70000000000000095" r="0.70000000000000095" t="0.750000000000001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285763582853203E-2"/>
          <c:y val="0.13388713469478999"/>
          <c:w val="0.41250009027342299"/>
          <c:h val="0.77731244709928804"/>
        </c:manualLayout>
      </c:layout>
      <c:pieChart>
        <c:varyColors val="1"/>
        <c:ser>
          <c:idx val="0"/>
          <c:order val="0"/>
          <c:spPr>
            <a:gradFill rotWithShape="0">
              <a:gsLst>
                <a:gs pos="0">
                  <a:srgbClr val="3A7CCB"/>
                </a:gs>
                <a:gs pos="20000">
                  <a:srgbClr val="3C7BC7"/>
                </a:gs>
                <a:gs pos="100000">
                  <a:srgbClr val="2C5D98"/>
                </a:gs>
              </a:gsLst>
              <a:lin ang="5400000"/>
            </a:gradFill>
            <a:ln w="25400">
              <a:noFill/>
            </a:ln>
            <a:effectLst>
              <a:outerShdw dist="35921" dir="2700000" algn="br">
                <a:srgbClr val="000000"/>
              </a:outerShdw>
            </a:effectLst>
          </c:spPr>
          <c:dPt>
            <c:idx val="0"/>
            <c:bubble3D val="0"/>
            <c:spPr>
              <a:gradFill rotWithShape="0">
                <a:gsLst>
                  <a:gs pos="0">
                    <a:srgbClr val="2E65A7"/>
                  </a:gs>
                  <a:gs pos="20000">
                    <a:srgbClr val="3065A4"/>
                  </a:gs>
                  <a:gs pos="100000">
                    <a:srgbClr val="224B7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737-FD4C-A193-4F2B2D68A2F1}"/>
              </c:ext>
            </c:extLst>
          </c:dPt>
          <c:dPt>
            <c:idx val="1"/>
            <c:bubble3D val="0"/>
            <c:spPr>
              <a:gradFill rotWithShape="0">
                <a:gsLst>
                  <a:gs pos="0">
                    <a:srgbClr val="AA2F2C"/>
                  </a:gs>
                  <a:gs pos="20000">
                    <a:srgbClr val="A7312E"/>
                  </a:gs>
                  <a:gs pos="100000">
                    <a:srgbClr val="7F2321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737-FD4C-A193-4F2B2D68A2F1}"/>
              </c:ext>
            </c:extLst>
          </c:dPt>
          <c:dPt>
            <c:idx val="2"/>
            <c:bubble3D val="0"/>
            <c:spPr>
              <a:gradFill rotWithShape="0">
                <a:gsLst>
                  <a:gs pos="0">
                    <a:srgbClr val="80A438"/>
                  </a:gs>
                  <a:gs pos="20000">
                    <a:srgbClr val="7FA13A"/>
                  </a:gs>
                  <a:gs pos="100000">
                    <a:srgbClr val="607A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7737-FD4C-A193-4F2B2D68A2F1}"/>
              </c:ext>
            </c:extLst>
          </c:dPt>
          <c:dPt>
            <c:idx val="3"/>
            <c:bubble3D val="0"/>
            <c:spPr>
              <a:gradFill rotWithShape="0">
                <a:gsLst>
                  <a:gs pos="0">
                    <a:srgbClr val="65468A"/>
                  </a:gs>
                  <a:gs pos="20000">
                    <a:srgbClr val="644788"/>
                  </a:gs>
                  <a:gs pos="100000">
                    <a:srgbClr val="4B346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7737-FD4C-A193-4F2B2D68A2F1}"/>
              </c:ext>
            </c:extLst>
          </c:dPt>
          <c:dPt>
            <c:idx val="4"/>
            <c:bubble3D val="0"/>
            <c:spPr>
              <a:gradFill rotWithShape="0">
                <a:gsLst>
                  <a:gs pos="0">
                    <a:srgbClr val="2994B0"/>
                  </a:gs>
                  <a:gs pos="20000">
                    <a:srgbClr val="2B91AD"/>
                  </a:gs>
                  <a:gs pos="100000">
                    <a:srgbClr val="1F6E83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7737-FD4C-A193-4F2B2D68A2F1}"/>
              </c:ext>
            </c:extLst>
          </c:dPt>
          <c:dPt>
            <c:idx val="5"/>
            <c:bubble3D val="0"/>
            <c:spPr>
              <a:gradFill rotWithShape="0">
                <a:gsLst>
                  <a:gs pos="0">
                    <a:srgbClr val="E0751D"/>
                  </a:gs>
                  <a:gs pos="20000">
                    <a:srgbClr val="DB7521"/>
                  </a:gs>
                  <a:gs pos="100000">
                    <a:srgbClr val="A85816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7737-FD4C-A193-4F2B2D68A2F1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7737-FD4C-A193-4F2B2D68A2F1}"/>
              </c:ext>
            </c:extLst>
          </c:dPt>
          <c:dPt>
            <c:idx val="7"/>
            <c:bubble3D val="0"/>
            <c:spPr>
              <a:gradFill rotWithShape="0">
                <a:gsLst>
                  <a:gs pos="0">
                    <a:srgbClr val="CE3B37"/>
                  </a:gs>
                  <a:gs pos="20000">
                    <a:srgbClr val="CB3D3A"/>
                  </a:gs>
                  <a:gs pos="100000">
                    <a:srgbClr val="9B2D2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7737-FD4C-A193-4F2B2D68A2F1}"/>
              </c:ext>
            </c:extLst>
          </c:dPt>
          <c:dPt>
            <c:idx val="8"/>
            <c:bubble3D val="0"/>
            <c:spPr>
              <a:gradFill rotWithShape="0">
                <a:gsLst>
                  <a:gs pos="0">
                    <a:srgbClr val="DB9D9D"/>
                  </a:gs>
                  <a:gs pos="20000">
                    <a:srgbClr val="D99E9D"/>
                  </a:gs>
                  <a:gs pos="100000">
                    <a:srgbClr val="A6787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7737-FD4C-A193-4F2B2D68A2F1}"/>
              </c:ext>
            </c:extLst>
          </c:dPt>
          <c:dPt>
            <c:idx val="9"/>
            <c:bubble3D val="0"/>
            <c:spPr>
              <a:gradFill rotWithShape="0">
                <a:gsLst>
                  <a:gs pos="0">
                    <a:srgbClr val="9CC746"/>
                  </a:gs>
                  <a:gs pos="20000">
                    <a:srgbClr val="9BC348"/>
                  </a:gs>
                  <a:gs pos="100000">
                    <a:srgbClr val="769535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7737-FD4C-A193-4F2B2D68A2F1}"/>
              </c:ext>
            </c:extLst>
          </c:dPt>
          <c:dPt>
            <c:idx val="10"/>
            <c:bubble3D val="0"/>
            <c:spPr>
              <a:gradFill rotWithShape="0">
                <a:gsLst>
                  <a:gs pos="0">
                    <a:srgbClr val="7B57A8"/>
                  </a:gs>
                  <a:gs pos="20000">
                    <a:srgbClr val="7B58A6"/>
                  </a:gs>
                  <a:gs pos="100000">
                    <a:srgbClr val="5D417E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7737-FD4C-A193-4F2B2D68A2F1}"/>
              </c:ext>
            </c:extLst>
          </c:dPt>
          <c:dPt>
            <c:idx val="11"/>
            <c:bubble3D val="0"/>
            <c:spPr>
              <a:gradFill rotWithShape="0">
                <a:gsLst>
                  <a:gs pos="0">
                    <a:srgbClr val="34B3D6"/>
                  </a:gs>
                  <a:gs pos="20000">
                    <a:srgbClr val="36B1D2"/>
                  </a:gs>
                  <a:gs pos="100000">
                    <a:srgbClr val="2787A0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7737-FD4C-A193-4F2B2D68A2F1}"/>
              </c:ext>
            </c:extLst>
          </c:dPt>
          <c:dPt>
            <c:idx val="12"/>
            <c:bubble3D val="0"/>
            <c:spPr>
              <a:gradFill rotWithShape="0">
                <a:gsLst>
                  <a:gs pos="0">
                    <a:srgbClr val="FF8F26"/>
                  </a:gs>
                  <a:gs pos="20000">
                    <a:srgbClr val="FF8F2A"/>
                  </a:gs>
                  <a:gs pos="100000">
                    <a:srgbClr val="CB6C1D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8-7737-FD4C-A193-4F2B2D68A2F1}"/>
              </c:ext>
            </c:extLst>
          </c:dPt>
          <c:dPt>
            <c:idx val="13"/>
            <c:bubble3D val="0"/>
            <c:spPr>
              <a:gradFill rotWithShape="0">
                <a:gsLst>
                  <a:gs pos="0">
                    <a:srgbClr val="9DB3D9"/>
                  </a:gs>
                  <a:gs pos="20000">
                    <a:srgbClr val="9EB3D7"/>
                  </a:gs>
                  <a:gs pos="100000">
                    <a:srgbClr val="7888A4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A-7737-FD4C-A193-4F2B2D68A2F1}"/>
              </c:ext>
            </c:extLst>
          </c:dPt>
          <c:dPt>
            <c:idx val="14"/>
            <c:bubble3D val="0"/>
            <c:spPr>
              <a:gradFill rotWithShape="0">
                <a:gsLst>
                  <a:gs pos="0">
                    <a:srgbClr val="C2D7A1"/>
                  </a:gs>
                  <a:gs pos="20000">
                    <a:srgbClr val="C1D5A1"/>
                  </a:gs>
                  <a:gs pos="100000">
                    <a:srgbClr val="93A37A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C-7737-FD4C-A193-4F2B2D68A2F1}"/>
              </c:ext>
            </c:extLst>
          </c:dPt>
          <c:dPt>
            <c:idx val="15"/>
            <c:bubble3D val="0"/>
            <c:spPr>
              <a:gradFill rotWithShape="0">
                <a:gsLst>
                  <a:gs pos="0">
                    <a:srgbClr val="B4A7C8"/>
                  </a:gs>
                  <a:gs pos="20000">
                    <a:srgbClr val="B3A6C6"/>
                  </a:gs>
                  <a:gs pos="100000">
                    <a:srgbClr val="887E97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E-7737-FD4C-A193-4F2B2D68A2F1}"/>
              </c:ext>
            </c:extLst>
          </c:dPt>
          <c:dPt>
            <c:idx val="16"/>
            <c:bubble3D val="0"/>
            <c:spPr>
              <a:gradFill rotWithShape="0">
                <a:gsLst>
                  <a:gs pos="0">
                    <a:srgbClr val="9BCDDF"/>
                  </a:gs>
                  <a:gs pos="20000">
                    <a:srgbClr val="9CCBDD"/>
                  </a:gs>
                  <a:gs pos="100000">
                    <a:srgbClr val="769BA9"/>
                  </a:gs>
                </a:gsLst>
                <a:lin ang="5400000"/>
              </a:gradFill>
              <a:ln w="25400">
                <a:noFill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0-7737-FD4C-A193-4F2B2D68A2F1}"/>
              </c:ext>
            </c:extLst>
          </c:dPt>
          <c:dLbls>
            <c:dLbl>
              <c:idx val="2"/>
              <c:layout>
                <c:manualLayout>
                  <c:x val="2.16640419947507E-3"/>
                  <c:y val="6.905741816491959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737-FD4C-A193-4F2B2D68A2F1}"/>
                </c:ext>
              </c:extLst>
            </c:dLbl>
            <c:dLbl>
              <c:idx val="5"/>
              <c:layout>
                <c:manualLayout>
                  <c:x val="-1.1669291338582701E-3"/>
                  <c:y val="-3.037117064191870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737-FD4C-A193-4F2B2D68A2F1}"/>
                </c:ext>
              </c:extLst>
            </c:dLbl>
            <c:dLbl>
              <c:idx val="6"/>
              <c:layout>
                <c:manualLayout>
                  <c:x val="7.8719160104986904E-2"/>
                  <c:y val="9.850510346188319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737-FD4C-A193-4F2B2D68A2F1}"/>
                </c:ext>
              </c:extLst>
            </c:dLbl>
            <c:dLbl>
              <c:idx val="10"/>
              <c:layout>
                <c:manualLayout>
                  <c:x val="9.2958923884514405E-2"/>
                  <c:y val="8.108238416471119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737-FD4C-A193-4F2B2D68A2F1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 project'!$C$13:$C$28</c:f>
              <c:strCache>
                <c:ptCount val="16"/>
                <c:pt idx="0">
                  <c:v>Zakelijk verkeer: personenvervoer</c:v>
                </c:pt>
                <c:pt idx="1">
                  <c:v>Zakelijk verkeer: bedrijfsbusjes</c:v>
                </c:pt>
                <c:pt idx="2">
                  <c:v>Zakelijk verkeer: vrachtverkeer</c:v>
                </c:pt>
                <c:pt idx="3">
                  <c:v>Overige energiedragers</c:v>
                </c:pt>
                <c:pt idx="4">
                  <c:v>Verwarming, gas</c:v>
                </c:pt>
                <c:pt idx="7">
                  <c:v>Elektriciteitsverbruik</c:v>
                </c:pt>
                <c:pt idx="8">
                  <c:v>Zakelijk verkeer: electr. wagenpark</c:v>
                </c:pt>
                <c:pt idx="9">
                  <c:v>Overige energie: stadswarmte</c:v>
                </c:pt>
                <c:pt idx="12">
                  <c:v>Zakelijk verkeer: priveauto's</c:v>
                </c:pt>
                <c:pt idx="13">
                  <c:v>Zakelijk verkeer: OV</c:v>
                </c:pt>
                <c:pt idx="14">
                  <c:v>Personenvervoer vliegtuig</c:v>
                </c:pt>
                <c:pt idx="15">
                  <c:v>Anders namelijk…</c:v>
                </c:pt>
              </c:strCache>
            </c:strRef>
          </c:cat>
          <c:val>
            <c:numRef>
              <c:f>'2024 project'!$F$13:$F$28</c:f>
              <c:numCache>
                <c:formatCode>0.00</c:formatCode>
                <c:ptCount val="16"/>
                <c:pt idx="0">
                  <c:v>0.26890639999999999</c:v>
                </c:pt>
                <c:pt idx="1">
                  <c:v>18.261075107692303</c:v>
                </c:pt>
                <c:pt idx="2">
                  <c:v>0</c:v>
                </c:pt>
                <c:pt idx="3">
                  <c:v>0</c:v>
                </c:pt>
                <c:pt idx="4">
                  <c:v>0.7501174153846154</c:v>
                </c:pt>
                <c:pt idx="7">
                  <c:v>0.86061809230769226</c:v>
                </c:pt>
                <c:pt idx="8">
                  <c:v>0</c:v>
                </c:pt>
                <c:pt idx="9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7737-FD4C-A193-4F2B2D68A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egendEntry>
        <c:idx val="4"/>
        <c:delete val="1"/>
      </c:legendEntry>
      <c:legendEntry>
        <c:idx val="5"/>
        <c:delete val="1"/>
      </c:legendEntry>
      <c:legendEntry>
        <c:idx val="9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0.56661901637295342"/>
          <c:y val="1.4545344660864759E-2"/>
          <c:w val="0.35767497812773402"/>
          <c:h val="0.97825752866418014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1" l="0.75" r="0.7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22725695323369"/>
          <c:y val="6.2547823116368098E-2"/>
          <c:w val="0.55266990202020605"/>
          <c:h val="0.87490435376726305"/>
        </c:manualLayout>
      </c:layout>
      <c:pieChart>
        <c:varyColors val="1"/>
        <c:ser>
          <c:idx val="0"/>
          <c:order val="0"/>
          <c:tx>
            <c:strRef>
              <c:f>'2024'!$F$12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0699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B90-420D-BA40-CA7E14391158}"/>
              </c:ext>
            </c:extLst>
          </c:dPt>
          <c:dPt>
            <c:idx val="1"/>
            <c:bubble3D val="0"/>
            <c:spPr>
              <a:solidFill>
                <a:srgbClr val="9E41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B90-420D-BA40-CA7E14391158}"/>
              </c:ext>
            </c:extLst>
          </c:dPt>
          <c:dPt>
            <c:idx val="2"/>
            <c:bubble3D val="0"/>
            <c:spPr>
              <a:solidFill>
                <a:srgbClr val="7F9A4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B90-420D-BA40-CA7E14391158}"/>
              </c:ext>
            </c:extLst>
          </c:dPt>
          <c:dPt>
            <c:idx val="3"/>
            <c:bubble3D val="0"/>
            <c:spPr>
              <a:solidFill>
                <a:srgbClr val="69518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B90-420D-BA40-CA7E14391158}"/>
              </c:ext>
            </c:extLst>
          </c:dPt>
          <c:dPt>
            <c:idx val="4"/>
            <c:bubble3D val="0"/>
            <c:spPr>
              <a:solidFill>
                <a:srgbClr val="3C8DA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B90-420D-BA40-CA7E14391158}"/>
              </c:ext>
            </c:extLst>
          </c:dPt>
          <c:dPt>
            <c:idx val="5"/>
            <c:bubble3D val="0"/>
            <c:spPr>
              <a:solidFill>
                <a:srgbClr val="CC7B3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B90-420D-BA40-CA7E14391158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AB90-420D-BA40-CA7E14391158}"/>
              </c:ext>
            </c:extLst>
          </c:dPt>
          <c:dPt>
            <c:idx val="7"/>
            <c:bubble3D val="0"/>
            <c:spPr>
              <a:solidFill>
                <a:srgbClr val="C0504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E-AB90-420D-BA40-CA7E14391158}"/>
              </c:ext>
            </c:extLst>
          </c:dPt>
          <c:dPt>
            <c:idx val="8"/>
            <c:bubble3D val="0"/>
            <c:spPr>
              <a:solidFill>
                <a:srgbClr val="9BBB5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0-AB90-420D-BA40-CA7E14391158}"/>
              </c:ext>
            </c:extLst>
          </c:dPt>
          <c:dLbls>
            <c:dLbl>
              <c:idx val="0"/>
              <c:layout>
                <c:manualLayout>
                  <c:x val="6.9444444444444448E-2"/>
                  <c:y val="9.4246031746031744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B90-420D-BA40-CA7E14391158}"/>
                </c:ext>
              </c:extLst>
            </c:dLbl>
            <c:dLbl>
              <c:idx val="7"/>
              <c:layout>
                <c:manualLayout>
                  <c:x val="-3.7615740740740741E-2"/>
                  <c:y val="-3.968253968253968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B90-420D-BA40-CA7E14391158}"/>
                </c:ext>
              </c:extLst>
            </c:dLbl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'2024 verdeling'!$B$12:$B$27</c:f>
              <c:strCache>
                <c:ptCount val="8"/>
                <c:pt idx="0">
                  <c:v>Eigen locatie</c:v>
                </c:pt>
                <c:pt idx="7">
                  <c:v>Projectlocaties</c:v>
                </c:pt>
              </c:strCache>
            </c:strRef>
          </c:cat>
          <c:val>
            <c:numRef>
              <c:f>'2024 verdeling'!$G$12:$G$27</c:f>
              <c:numCache>
                <c:formatCode>General</c:formatCode>
                <c:ptCount val="16"/>
                <c:pt idx="0" formatCode="0.00">
                  <c:v>97.723810399999991</c:v>
                </c:pt>
                <c:pt idx="7" formatCode="0.00">
                  <c:v>1211.4227955999997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AB90-420D-BA40-CA7E143911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50000000000001" l="0.70000000000000095" r="0.70000000000000095" t="0.750000000000001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285763582853203E-2"/>
          <c:y val="0.13388713469478999"/>
          <c:w val="0.41250009027342299"/>
          <c:h val="0.77731244709928804"/>
        </c:manualLayout>
      </c:layout>
      <c:pieChart>
        <c:varyColors val="1"/>
        <c:ser>
          <c:idx val="0"/>
          <c:order val="0"/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33E9-447F-A106-910BA3AB12FC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5-33E9-447F-A106-910BA3AB12F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33E9-447F-A106-910BA3AB12FC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33E9-447F-A106-910BA3AB12FC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33E9-447F-A106-910BA3AB12FC}"/>
              </c:ext>
            </c:extLst>
          </c:dPt>
          <c:dPt>
            <c:idx val="7"/>
            <c:bubble3D val="0"/>
            <c:extLst>
              <c:ext xmlns:c16="http://schemas.microsoft.com/office/drawing/2014/chart" uri="{C3380CC4-5D6E-409C-BE32-E72D297353CC}">
                <c16:uniqueId val="{0000000C-33E9-447F-A106-910BA3AB12FC}"/>
              </c:ext>
            </c:extLst>
          </c:dPt>
          <c:dPt>
            <c:idx val="8"/>
            <c:bubble3D val="0"/>
            <c:extLst>
              <c:ext xmlns:c16="http://schemas.microsoft.com/office/drawing/2014/chart" uri="{C3380CC4-5D6E-409C-BE32-E72D297353CC}">
                <c16:uniqueId val="{00000010-33E9-447F-A106-910BA3AB12FC}"/>
              </c:ext>
            </c:extLst>
          </c:dPt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12-33E9-447F-A106-910BA3AB12FC}"/>
              </c:ext>
            </c:extLst>
          </c:dPt>
          <c:dLbls>
            <c:dLbl>
              <c:idx val="3"/>
              <c:layout>
                <c:manualLayout>
                  <c:x val="2.16640419947507E-3"/>
                  <c:y val="6.9057418164919599E-3"/>
                </c:manualLayout>
              </c:layout>
              <c:spPr/>
              <c:txPr>
                <a:bodyPr lIns="38100" tIns="19050" rIns="38100" bIns="19050">
                  <a:spAutoFit/>
                </a:bodyPr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3E9-447F-A106-910BA3AB12FC}"/>
                </c:ext>
              </c:extLst>
            </c:dLbl>
            <c:dLbl>
              <c:idx val="6"/>
              <c:layout>
                <c:manualLayout>
                  <c:x val="-1.1669291338582701E-3"/>
                  <c:y val="-3.0371170641918702E-2"/>
                </c:manualLayout>
              </c:layout>
              <c:spPr/>
              <c:txPr>
                <a:bodyPr lIns="38100" tIns="19050" rIns="38100" bIns="19050">
                  <a:spAutoFit/>
                </a:bodyPr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3E9-447F-A106-910BA3AB12FC}"/>
                </c:ext>
              </c:extLst>
            </c:dLbl>
            <c:dLbl>
              <c:idx val="7"/>
              <c:layout>
                <c:manualLayout>
                  <c:x val="9.2747781527309087E-3"/>
                  <c:y val="-1.1143343924115419E-3"/>
                </c:manualLayout>
              </c:layout>
              <c:spPr/>
              <c:txPr>
                <a:bodyPr lIns="38100" tIns="19050" rIns="38100" bIns="19050">
                  <a:spAutoFit/>
                </a:bodyPr>
                <a:lstStyle/>
                <a:p>
                  <a:pPr>
                    <a:defRPr/>
                  </a:pPr>
                  <a:endParaRPr lang="nl-N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3E9-447F-A106-910BA3AB12F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 verdeling'!$C$13:$C$27</c:f>
              <c:strCache>
                <c:ptCount val="15"/>
                <c:pt idx="0">
                  <c:v>Zakelijk verkeer: personenvervoer</c:v>
                </c:pt>
                <c:pt idx="1">
                  <c:v>Overige energiedragers</c:v>
                </c:pt>
                <c:pt idx="2">
                  <c:v>Verwarming, gas</c:v>
                </c:pt>
                <c:pt idx="3">
                  <c:v>Elektriciteitsverbruik</c:v>
                </c:pt>
                <c:pt idx="4">
                  <c:v>Zakelijk verkeer: OV</c:v>
                </c:pt>
                <c:pt idx="7">
                  <c:v>Zakelijk verkeer: personenvervoer</c:v>
                </c:pt>
                <c:pt idx="8">
                  <c:v>Zakelijk verkeer: bedrijfsbusjes</c:v>
                </c:pt>
                <c:pt idx="9">
                  <c:v>Zakelijk verkeer: vrachtverkeer</c:v>
                </c:pt>
                <c:pt idx="10">
                  <c:v>Overige energiedragers</c:v>
                </c:pt>
                <c:pt idx="11">
                  <c:v>Verwarming, gas</c:v>
                </c:pt>
                <c:pt idx="12">
                  <c:v>Elektriciteitsverbruik</c:v>
                </c:pt>
                <c:pt idx="13">
                  <c:v>Zakelijk verkeer: OV</c:v>
                </c:pt>
                <c:pt idx="14">
                  <c:v>Personenvervoer vliegtuig</c:v>
                </c:pt>
              </c:strCache>
            </c:strRef>
          </c:cat>
          <c:val>
            <c:numRef>
              <c:f>'2024 verdeling'!$F$13:$F$27</c:f>
              <c:numCache>
                <c:formatCode>0.00</c:formatCode>
                <c:ptCount val="15"/>
                <c:pt idx="0">
                  <c:v>3.4957832000000004</c:v>
                </c:pt>
                <c:pt idx="1">
                  <c:v>0</c:v>
                </c:pt>
                <c:pt idx="2">
                  <c:v>43.881868799999999</c:v>
                </c:pt>
                <c:pt idx="3">
                  <c:v>50.3461584</c:v>
                </c:pt>
                <c:pt idx="4">
                  <c:v>0</c:v>
                </c:pt>
                <c:pt idx="7">
                  <c:v>13.983132800000002</c:v>
                </c:pt>
                <c:pt idx="8">
                  <c:v>1186.9698819999999</c:v>
                </c:pt>
                <c:pt idx="9">
                  <c:v>0</c:v>
                </c:pt>
                <c:pt idx="10">
                  <c:v>0</c:v>
                </c:pt>
                <c:pt idx="11">
                  <c:v>4.8757632000000006</c:v>
                </c:pt>
                <c:pt idx="12">
                  <c:v>5.5940176000000008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33E9-447F-A106-910BA3AB1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5"/>
        <c:delete val="1"/>
      </c:legendEntry>
      <c:legendEntry>
        <c:idx val="6"/>
        <c:delete val="1"/>
      </c:legendEntry>
      <c:layout>
        <c:manualLayout>
          <c:xMode val="edge"/>
          <c:yMode val="edge"/>
          <c:x val="0.57491969753780781"/>
          <c:y val="7.8095501220242225E-3"/>
          <c:w val="0.39928665166854138"/>
          <c:h val="0.98072592899571764"/>
        </c:manualLayout>
      </c:layout>
      <c:overlay val="0"/>
    </c:legend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22725695323369"/>
          <c:y val="6.2547823116368098E-2"/>
          <c:w val="0.55266990202020605"/>
          <c:h val="0.87490435376726305"/>
        </c:manualLayout>
      </c:layout>
      <c:pieChart>
        <c:varyColors val="1"/>
        <c:ser>
          <c:idx val="0"/>
          <c:order val="0"/>
          <c:tx>
            <c:strRef>
              <c:f>'2025 H1'!$F$12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0699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3C0-4A63-A01A-2FDAE29AECDE}"/>
              </c:ext>
            </c:extLst>
          </c:dPt>
          <c:dPt>
            <c:idx val="1"/>
            <c:bubble3D val="0"/>
            <c:spPr>
              <a:solidFill>
                <a:srgbClr val="9E41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3C0-4A63-A01A-2FDAE29AECDE}"/>
              </c:ext>
            </c:extLst>
          </c:dPt>
          <c:dPt>
            <c:idx val="2"/>
            <c:bubble3D val="0"/>
            <c:spPr>
              <a:solidFill>
                <a:srgbClr val="7F9A4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3C0-4A63-A01A-2FDAE29AECDE}"/>
              </c:ext>
            </c:extLst>
          </c:dPt>
          <c:dPt>
            <c:idx val="3"/>
            <c:bubble3D val="0"/>
            <c:spPr>
              <a:solidFill>
                <a:srgbClr val="69518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3C0-4A63-A01A-2FDAE29AECDE}"/>
              </c:ext>
            </c:extLst>
          </c:dPt>
          <c:dPt>
            <c:idx val="4"/>
            <c:bubble3D val="0"/>
            <c:spPr>
              <a:solidFill>
                <a:srgbClr val="3C8DA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3C0-4A63-A01A-2FDAE29AECDE}"/>
              </c:ext>
            </c:extLst>
          </c:dPt>
          <c:dPt>
            <c:idx val="5"/>
            <c:bubble3D val="0"/>
            <c:spPr>
              <a:solidFill>
                <a:srgbClr val="CC7B38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3C0-4A63-A01A-2FDAE29AECDE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53C0-4A63-A01A-2FDAE29AECDE}"/>
              </c:ext>
            </c:extLst>
          </c:dPt>
          <c:dPt>
            <c:idx val="7"/>
            <c:bubble3D val="0"/>
            <c:spPr>
              <a:solidFill>
                <a:srgbClr val="C0504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E-53C0-4A63-A01A-2FDAE29AECDE}"/>
              </c:ext>
            </c:extLst>
          </c:dPt>
          <c:dPt>
            <c:idx val="8"/>
            <c:bubble3D val="0"/>
            <c:spPr>
              <a:solidFill>
                <a:srgbClr val="9BBB5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0-53C0-4A63-A01A-2FDAE29AECDE}"/>
              </c:ext>
            </c:extLst>
          </c:dPt>
          <c:dPt>
            <c:idx val="10"/>
            <c:bubble3D val="0"/>
            <c:spPr>
              <a:solidFill>
                <a:srgbClr val="8064A2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2-53C0-4A63-A01A-2FDAE29AECDE}"/>
              </c:ext>
            </c:extLst>
          </c:dPt>
          <c:dPt>
            <c:idx val="11"/>
            <c:bubble3D val="0"/>
            <c:spPr>
              <a:solidFill>
                <a:srgbClr val="4BACC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4-53C0-4A63-A01A-2FDAE29AECDE}"/>
              </c:ext>
            </c:extLst>
          </c:dPt>
          <c:dPt>
            <c:idx val="12"/>
            <c:bubble3D val="0"/>
            <c:spPr>
              <a:solidFill>
                <a:srgbClr val="F7964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6-53C0-4A63-A01A-2FDAE29AECDE}"/>
              </c:ext>
            </c:extLst>
          </c:dPt>
          <c:dPt>
            <c:idx val="13"/>
            <c:bubble3D val="0"/>
            <c:spPr>
              <a:solidFill>
                <a:srgbClr val="AABA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53C0-4A63-A01A-2FDAE29AECDE}"/>
              </c:ext>
            </c:extLst>
          </c:dPt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'2025 H1'!$B$12:$B$24</c:f>
              <c:strCache>
                <c:ptCount val="13"/>
                <c:pt idx="0">
                  <c:v>Scope 1</c:v>
                </c:pt>
                <c:pt idx="7">
                  <c:v>Scope 2</c:v>
                </c:pt>
                <c:pt idx="12">
                  <c:v>Business travel - scope 3</c:v>
                </c:pt>
              </c:strCache>
            </c:strRef>
          </c:cat>
          <c:val>
            <c:numRef>
              <c:f>'2025 H1'!$G$12:$G$24</c:f>
              <c:numCache>
                <c:formatCode>General</c:formatCode>
                <c:ptCount val="13"/>
                <c:pt idx="0" formatCode="0.00">
                  <c:v>589.18410100000006</c:v>
                </c:pt>
                <c:pt idx="7" formatCode="0.00">
                  <c:v>0</c:v>
                </c:pt>
                <c:pt idx="12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53C0-4A63-A01A-2FDAE29AEC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printSettings>
    <c:headerFooter/>
    <c:pageMargins b="0.750000000000001" l="0.70000000000000095" r="0.70000000000000095" t="0.750000000000001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76200</xdr:colOff>
      <xdr:row>42</xdr:row>
      <xdr:rowOff>50800</xdr:rowOff>
    </xdr:from>
    <xdr:to>
      <xdr:col>11</xdr:col>
      <xdr:colOff>335612</xdr:colOff>
      <xdr:row>77</xdr:row>
      <xdr:rowOff>91440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FE46DCF6-04D4-1444-87F2-214401CD5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12801600" y="10706100"/>
          <a:ext cx="7742182" cy="6263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10744</xdr:colOff>
      <xdr:row>7</xdr:row>
      <xdr:rowOff>4885</xdr:rowOff>
    </xdr:from>
    <xdr:to>
      <xdr:col>16</xdr:col>
      <xdr:colOff>365172</xdr:colOff>
      <xdr:row>22</xdr:row>
      <xdr:rowOff>103359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67BFAD35-5E98-5742-A485-2E493CE88E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234463</xdr:colOff>
      <xdr:row>24</xdr:row>
      <xdr:rowOff>58615</xdr:rowOff>
    </xdr:from>
    <xdr:to>
      <xdr:col>18</xdr:col>
      <xdr:colOff>508001</xdr:colOff>
      <xdr:row>44</xdr:row>
      <xdr:rowOff>16412</xdr:rowOff>
    </xdr:to>
    <xdr:graphicFrame macro="">
      <xdr:nvGraphicFramePr>
        <xdr:cNvPr id="3" name="Grafiek 3">
          <a:extLst>
            <a:ext uri="{FF2B5EF4-FFF2-40B4-BE49-F238E27FC236}">
              <a16:creationId xmlns:a16="http://schemas.microsoft.com/office/drawing/2014/main" id="{3BDEB582-8DA7-AA48-BF30-2CED1E72D5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37</xdr:row>
      <xdr:rowOff>169334</xdr:rowOff>
    </xdr:from>
    <xdr:to>
      <xdr:col>7</xdr:col>
      <xdr:colOff>876323</xdr:colOff>
      <xdr:row>44</xdr:row>
      <xdr:rowOff>21461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1F7BAF38-5D30-8F48-907E-8594D0ED76DA}"/>
            </a:ext>
          </a:extLst>
        </xdr:cNvPr>
        <xdr:cNvSpPr txBox="1"/>
      </xdr:nvSpPr>
      <xdr:spPr>
        <a:xfrm>
          <a:off x="0" y="6646334"/>
          <a:ext cx="4876823" cy="11115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bIns="0" rtlCol="0" anchor="t"/>
        <a:lstStyle/>
        <a:p>
          <a:r>
            <a:rPr lang="nl-NL" sz="900" b="1" i="0">
              <a:latin typeface="Arial" panose="020B0604020202020204" pitchFamily="34" charset="0"/>
              <a:cs typeface="Arial" panose="020B0604020202020204" pitchFamily="34" charset="0"/>
            </a:rPr>
            <a:t>Voor de beeldvorming:</a:t>
          </a: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CO₂ kennen we allemaal als de koolstofdioxide of koolzuurgas in onze frisdrank of biertje.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Bomen en planten hebben naast water, voeding en zonlicht CO₂ nodig om te groeien.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Een gemiddelde huishouden (2,2 personen) stoot zo'n 20 ton CO₂ per jaaruit (waaronder 29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% voor spullen, 20% voor voedsel, 19% voor energie en nog eens 19% voor transport).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Bij verbranding van fossiele stoffen komt er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CO₂ vrij, teveel is schadelijk voor het milieu.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Dit gas houdt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namelijk warmte vast, waardoor de aarde opwarmt: het broeikaseffect.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10743</xdr:colOff>
      <xdr:row>7</xdr:row>
      <xdr:rowOff>4885</xdr:rowOff>
    </xdr:from>
    <xdr:to>
      <xdr:col>16</xdr:col>
      <xdr:colOff>365171</xdr:colOff>
      <xdr:row>22</xdr:row>
      <xdr:rowOff>103359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625526EE-0715-A642-976B-6F20E5F581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234463</xdr:colOff>
      <xdr:row>24</xdr:row>
      <xdr:rowOff>58614</xdr:rowOff>
    </xdr:from>
    <xdr:to>
      <xdr:col>18</xdr:col>
      <xdr:colOff>508001</xdr:colOff>
      <xdr:row>44</xdr:row>
      <xdr:rowOff>16411</xdr:rowOff>
    </xdr:to>
    <xdr:graphicFrame macro="">
      <xdr:nvGraphicFramePr>
        <xdr:cNvPr id="3" name="Grafiek 3">
          <a:extLst>
            <a:ext uri="{FF2B5EF4-FFF2-40B4-BE49-F238E27FC236}">
              <a16:creationId xmlns:a16="http://schemas.microsoft.com/office/drawing/2014/main" id="{96D7327D-9B3E-9C45-B357-8CCE89A0B4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37</xdr:row>
      <xdr:rowOff>169334</xdr:rowOff>
    </xdr:from>
    <xdr:to>
      <xdr:col>7</xdr:col>
      <xdr:colOff>876323</xdr:colOff>
      <xdr:row>44</xdr:row>
      <xdr:rowOff>21461</xdr:rowOff>
    </xdr:to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D5C8C2F4-B74E-1843-85DF-520E6920D1AF}"/>
            </a:ext>
          </a:extLst>
        </xdr:cNvPr>
        <xdr:cNvSpPr txBox="1"/>
      </xdr:nvSpPr>
      <xdr:spPr>
        <a:xfrm>
          <a:off x="0" y="6646334"/>
          <a:ext cx="4876823" cy="11115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bIns="0" rtlCol="0" anchor="t"/>
        <a:lstStyle/>
        <a:p>
          <a:r>
            <a:rPr lang="nl-NL" sz="900" b="1" i="0">
              <a:latin typeface="Arial" panose="020B0604020202020204" pitchFamily="34" charset="0"/>
              <a:cs typeface="Arial" panose="020B0604020202020204" pitchFamily="34" charset="0"/>
            </a:rPr>
            <a:t>Voor de beeldvorming:</a:t>
          </a: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CO₂ kennen we allemaal als de koolstofdioxide of koolzuurgas in onze frisdrank of biertje.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Bomen en planten hebben naast water, voeding en zonlicht CO₂ nodig om te groeien.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Een gemiddelde huishouden (2,2 personen) stoot zo'n 20 ton CO₂ per jaaruit (waaronder 29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% voor spullen, 20% voor voedsel, 19% voor energie en nog eens 19% voor transport).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Bij verbranding van fossiele stoffen komt er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CO₂ vrij, teveel is schadelijk voor het milieu.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Dit gas houdt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namelijk warmte vast, waardoor de aarde opwarmt: het broeikaseffect.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10742</xdr:colOff>
      <xdr:row>7</xdr:row>
      <xdr:rowOff>4884</xdr:rowOff>
    </xdr:from>
    <xdr:to>
      <xdr:col>16</xdr:col>
      <xdr:colOff>365170</xdr:colOff>
      <xdr:row>22</xdr:row>
      <xdr:rowOff>103358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B91A4AA6-9977-8247-87A7-D52F74FE29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234463</xdr:colOff>
      <xdr:row>24</xdr:row>
      <xdr:rowOff>58615</xdr:rowOff>
    </xdr:from>
    <xdr:to>
      <xdr:col>18</xdr:col>
      <xdr:colOff>508001</xdr:colOff>
      <xdr:row>44</xdr:row>
      <xdr:rowOff>16412</xdr:rowOff>
    </xdr:to>
    <xdr:graphicFrame macro="">
      <xdr:nvGraphicFramePr>
        <xdr:cNvPr id="3" name="Grafiek 3">
          <a:extLst>
            <a:ext uri="{FF2B5EF4-FFF2-40B4-BE49-F238E27FC236}">
              <a16:creationId xmlns:a16="http://schemas.microsoft.com/office/drawing/2014/main" id="{3F8440E2-C6C1-1B4A-88E8-789B365FF1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37</xdr:row>
      <xdr:rowOff>169334</xdr:rowOff>
    </xdr:from>
    <xdr:to>
      <xdr:col>7</xdr:col>
      <xdr:colOff>876323</xdr:colOff>
      <xdr:row>44</xdr:row>
      <xdr:rowOff>21461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42A4E85A-EE16-AF4B-9D42-398E7EF8E446}"/>
            </a:ext>
          </a:extLst>
        </xdr:cNvPr>
        <xdr:cNvSpPr txBox="1"/>
      </xdr:nvSpPr>
      <xdr:spPr>
        <a:xfrm>
          <a:off x="0" y="6646334"/>
          <a:ext cx="4876823" cy="11115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bIns="0" rtlCol="0" anchor="t"/>
        <a:lstStyle/>
        <a:p>
          <a:r>
            <a:rPr lang="nl-NL" sz="900" b="1" i="0">
              <a:latin typeface="Arial" panose="020B0604020202020204" pitchFamily="34" charset="0"/>
              <a:cs typeface="Arial" panose="020B0604020202020204" pitchFamily="34" charset="0"/>
            </a:rPr>
            <a:t>Voor de beeldvorming:</a:t>
          </a: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CO₂ kennen we allemaal als de koolstofdioxide of koolzuurgas in onze frisdrank of biertje.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Bomen en planten hebben naast water, voeding en zonlicht CO₂ nodig om te groeien.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Een gemiddelde huishouden (2,2 personen) stoot zo'n 20 ton CO₂ per jaaruit (waaronder 29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% voor spullen, 20% voor voedsel, 19% voor energie en nog eens 19% voor transport).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Bij verbranding van fossiele stoffen komt er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CO₂ vrij, teveel is schadelijk voor het milieu.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Dit gas houdt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namelijk warmte vast, waardoor de aarde opwarmt: het broeikaseffect.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10744</xdr:colOff>
      <xdr:row>7</xdr:row>
      <xdr:rowOff>4885</xdr:rowOff>
    </xdr:from>
    <xdr:to>
      <xdr:col>16</xdr:col>
      <xdr:colOff>365172</xdr:colOff>
      <xdr:row>22</xdr:row>
      <xdr:rowOff>103359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8BFAECFB-F8BA-1943-AF2A-9D167BF272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233647</xdr:colOff>
      <xdr:row>23</xdr:row>
      <xdr:rowOff>143283</xdr:rowOff>
    </xdr:from>
    <xdr:to>
      <xdr:col>18</xdr:col>
      <xdr:colOff>508001</xdr:colOff>
      <xdr:row>43</xdr:row>
      <xdr:rowOff>101081</xdr:rowOff>
    </xdr:to>
    <xdr:graphicFrame macro="">
      <xdr:nvGraphicFramePr>
        <xdr:cNvPr id="3" name="Grafiek 3">
          <a:extLst>
            <a:ext uri="{FF2B5EF4-FFF2-40B4-BE49-F238E27FC236}">
              <a16:creationId xmlns:a16="http://schemas.microsoft.com/office/drawing/2014/main" id="{5C689B1A-4C9D-D04F-9D02-89F5E38B6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37</xdr:row>
      <xdr:rowOff>74081</xdr:rowOff>
    </xdr:from>
    <xdr:to>
      <xdr:col>7</xdr:col>
      <xdr:colOff>876323</xdr:colOff>
      <xdr:row>43</xdr:row>
      <xdr:rowOff>106125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48B9C79C-1478-334F-AE28-29B557D3BE97}"/>
            </a:ext>
          </a:extLst>
        </xdr:cNvPr>
        <xdr:cNvSpPr txBox="1"/>
      </xdr:nvSpPr>
      <xdr:spPr>
        <a:xfrm>
          <a:off x="0" y="6551081"/>
          <a:ext cx="4876823" cy="11115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bIns="0" rtlCol="0" anchor="t"/>
        <a:lstStyle/>
        <a:p>
          <a:r>
            <a:rPr lang="nl-NL" sz="900" b="1" i="0">
              <a:latin typeface="Arial" panose="020B0604020202020204" pitchFamily="34" charset="0"/>
              <a:cs typeface="Arial" panose="020B0604020202020204" pitchFamily="34" charset="0"/>
            </a:rPr>
            <a:t>Voor de beeldvorming:</a:t>
          </a: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CO₂ kennen we allemaal als de koolstofdioxide of koolzuurgas in onze frisdrank of biertje.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Bomen en planten hebben naast water, voeding en zonlicht CO₂ nodig om te groeien.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Een gemiddelde huishouden (2,2 personen) stoot zo'n 20 ton CO₂ per jaaruit (waaronder 29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% voor spullen, 20% voor voedsel, 19% voor energie en nog eens 19% voor transport).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Bij verbranding van fossiele stoffen komt er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CO₂ vrij, teveel is schadelijk voor het milieu.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Dit gas houdt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namelijk warmte vast, waardoor de aarde opwarmt: het broeikaseffect.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10746</xdr:colOff>
      <xdr:row>7</xdr:row>
      <xdr:rowOff>4884</xdr:rowOff>
    </xdr:from>
    <xdr:to>
      <xdr:col>16</xdr:col>
      <xdr:colOff>365174</xdr:colOff>
      <xdr:row>22</xdr:row>
      <xdr:rowOff>103358</xdr:rowOff>
    </xdr:to>
    <xdr:graphicFrame macro="">
      <xdr:nvGraphicFramePr>
        <xdr:cNvPr id="2058" name="Grafiek 1">
          <a:extLst>
            <a:ext uri="{FF2B5EF4-FFF2-40B4-BE49-F238E27FC236}">
              <a16:creationId xmlns:a16="http://schemas.microsoft.com/office/drawing/2014/main" id="{00000000-0008-0000-0300-00000A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234463</xdr:colOff>
      <xdr:row>24</xdr:row>
      <xdr:rowOff>58613</xdr:rowOff>
    </xdr:from>
    <xdr:to>
      <xdr:col>18</xdr:col>
      <xdr:colOff>508001</xdr:colOff>
      <xdr:row>44</xdr:row>
      <xdr:rowOff>16410</xdr:rowOff>
    </xdr:to>
    <xdr:graphicFrame macro="">
      <xdr:nvGraphicFramePr>
        <xdr:cNvPr id="2060" name="Grafiek 3">
          <a:extLst>
            <a:ext uri="{FF2B5EF4-FFF2-40B4-BE49-F238E27FC236}">
              <a16:creationId xmlns:a16="http://schemas.microsoft.com/office/drawing/2014/main" id="{00000000-0008-0000-0300-00000C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37</xdr:row>
      <xdr:rowOff>169334</xdr:rowOff>
    </xdr:from>
    <xdr:to>
      <xdr:col>7</xdr:col>
      <xdr:colOff>876323</xdr:colOff>
      <xdr:row>44</xdr:row>
      <xdr:rowOff>21461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EE8FDCE2-DB0A-5D4D-8DD4-5EF40692C242}"/>
            </a:ext>
          </a:extLst>
        </xdr:cNvPr>
        <xdr:cNvSpPr txBox="1"/>
      </xdr:nvSpPr>
      <xdr:spPr>
        <a:xfrm>
          <a:off x="0" y="6646334"/>
          <a:ext cx="4876823" cy="11115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bIns="0" rtlCol="0" anchor="t"/>
        <a:lstStyle/>
        <a:p>
          <a:r>
            <a:rPr lang="nl-NL" sz="900" b="1" i="0">
              <a:latin typeface="Arial" panose="020B0604020202020204" pitchFamily="34" charset="0"/>
              <a:cs typeface="Arial" panose="020B0604020202020204" pitchFamily="34" charset="0"/>
            </a:rPr>
            <a:t>Voor de beeldvorming:</a:t>
          </a: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CO₂ kennen we allemaal als de koolstofdioxide of koolzuurgas in onze frisdrank of biertje.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Bomen en planten hebben naast water, voeding en zonlicht CO₂ nodig om te groeien.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Een gemiddelde huishouden (2,2 personen) stoot zo'n 20 ton CO₂ per jaaruit (waaronder 29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% voor spullen, 20% voor voedsel, 19% voor energie en nog eens 19% voor transport).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Bij verbranding van fossiele stoffen komt er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CO₂ vrij, teveel is schadelijk voor het milieu.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Dit gas houdt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namelijk warmte vast, waardoor de aarde opwarmt: het broeikaseffect.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10743</xdr:colOff>
      <xdr:row>7</xdr:row>
      <xdr:rowOff>4885</xdr:rowOff>
    </xdr:from>
    <xdr:to>
      <xdr:col>16</xdr:col>
      <xdr:colOff>365171</xdr:colOff>
      <xdr:row>22</xdr:row>
      <xdr:rowOff>103359</xdr:rowOff>
    </xdr:to>
    <xdr:graphicFrame macro="">
      <xdr:nvGraphicFramePr>
        <xdr:cNvPr id="5130" name="Grafiek 1">
          <a:extLst>
            <a:ext uri="{FF2B5EF4-FFF2-40B4-BE49-F238E27FC236}">
              <a16:creationId xmlns:a16="http://schemas.microsoft.com/office/drawing/2014/main" id="{00000000-0008-0000-0700-00000A1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234463</xdr:colOff>
      <xdr:row>24</xdr:row>
      <xdr:rowOff>58615</xdr:rowOff>
    </xdr:from>
    <xdr:to>
      <xdr:col>18</xdr:col>
      <xdr:colOff>508001</xdr:colOff>
      <xdr:row>44</xdr:row>
      <xdr:rowOff>16412</xdr:rowOff>
    </xdr:to>
    <xdr:graphicFrame macro="">
      <xdr:nvGraphicFramePr>
        <xdr:cNvPr id="5132" name="Grafiek 3">
          <a:extLst>
            <a:ext uri="{FF2B5EF4-FFF2-40B4-BE49-F238E27FC236}">
              <a16:creationId xmlns:a16="http://schemas.microsoft.com/office/drawing/2014/main" id="{00000000-0008-0000-0700-00000C1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37</xdr:row>
      <xdr:rowOff>169334</xdr:rowOff>
    </xdr:from>
    <xdr:to>
      <xdr:col>7</xdr:col>
      <xdr:colOff>876323</xdr:colOff>
      <xdr:row>44</xdr:row>
      <xdr:rowOff>21461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D3C4A36E-756F-3F43-A72F-E450CFD464F1}"/>
            </a:ext>
          </a:extLst>
        </xdr:cNvPr>
        <xdr:cNvSpPr txBox="1"/>
      </xdr:nvSpPr>
      <xdr:spPr>
        <a:xfrm>
          <a:off x="0" y="6646334"/>
          <a:ext cx="4876823" cy="11115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bIns="0" rtlCol="0" anchor="t"/>
        <a:lstStyle/>
        <a:p>
          <a:r>
            <a:rPr lang="nl-NL" sz="900" b="1" i="0">
              <a:latin typeface="Arial" panose="020B0604020202020204" pitchFamily="34" charset="0"/>
              <a:cs typeface="Arial" panose="020B0604020202020204" pitchFamily="34" charset="0"/>
            </a:rPr>
            <a:t>Voor de beeldvorming:</a:t>
          </a: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CO₂ kennen we allemaal als de koolstofdioxide of koolzuurgas in onze frisdrank of biertje.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Bomen en planten hebben naast water, voeding en zonlicht CO₂ nodig om te groeien.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Een gemiddelde huishouden (2,2 personen) stoot zo'n 20 ton CO₂ per jaaruit (waaronder 29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% voor spullen, 20% voor voedsel, 19% voor energie en nog eens 19% voor transport).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Bij verbranding van fossiele stoffen komt er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CO₂ vrij, teveel is schadelijk voor het milieu.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Dit gas houdt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namelijk warmte vast, waardoor de aarde opwarmt: het broeikaseffect.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10743</xdr:colOff>
      <xdr:row>7</xdr:row>
      <xdr:rowOff>4884</xdr:rowOff>
    </xdr:from>
    <xdr:to>
      <xdr:col>16</xdr:col>
      <xdr:colOff>365171</xdr:colOff>
      <xdr:row>22</xdr:row>
      <xdr:rowOff>103358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74DE081E-B5B8-DF44-A432-6605EC29E0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234463</xdr:colOff>
      <xdr:row>24</xdr:row>
      <xdr:rowOff>58614</xdr:rowOff>
    </xdr:from>
    <xdr:to>
      <xdr:col>18</xdr:col>
      <xdr:colOff>508001</xdr:colOff>
      <xdr:row>44</xdr:row>
      <xdr:rowOff>16411</xdr:rowOff>
    </xdr:to>
    <xdr:graphicFrame macro="">
      <xdr:nvGraphicFramePr>
        <xdr:cNvPr id="3" name="Grafiek 3">
          <a:extLst>
            <a:ext uri="{FF2B5EF4-FFF2-40B4-BE49-F238E27FC236}">
              <a16:creationId xmlns:a16="http://schemas.microsoft.com/office/drawing/2014/main" id="{96EC7C08-5EAF-414C-911A-A68A2EE27B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37</xdr:row>
      <xdr:rowOff>169334</xdr:rowOff>
    </xdr:from>
    <xdr:to>
      <xdr:col>7</xdr:col>
      <xdr:colOff>876323</xdr:colOff>
      <xdr:row>44</xdr:row>
      <xdr:rowOff>21461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0D994D98-BC19-6F41-BB29-4BF0F17D4554}"/>
            </a:ext>
          </a:extLst>
        </xdr:cNvPr>
        <xdr:cNvSpPr txBox="1"/>
      </xdr:nvSpPr>
      <xdr:spPr>
        <a:xfrm>
          <a:off x="0" y="6646334"/>
          <a:ext cx="4876823" cy="11115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bIns="0" rtlCol="0" anchor="t"/>
        <a:lstStyle/>
        <a:p>
          <a:r>
            <a:rPr lang="nl-NL" sz="900" b="1" i="0">
              <a:latin typeface="Arial" panose="020B0604020202020204" pitchFamily="34" charset="0"/>
              <a:cs typeface="Arial" panose="020B0604020202020204" pitchFamily="34" charset="0"/>
            </a:rPr>
            <a:t>Voor de beeldvorming:</a:t>
          </a: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CO₂ kennen we allemaal als de koolstofdioxide of koolzuurgas in onze frisdrank of biertje.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Bomen en planten hebben naast water, voeding en zonlicht CO₂ nodig om te groeien.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Een gemiddelde huishouden (2,2 personen) stoot zo'n 20 ton CO₂ per jaaruit (waaronder 29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% voor spullen, 20% voor voedsel, 19% voor energie en nog eens 19% voor transport).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Bij verbranding van fossiele stoffen komt er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CO₂ vrij, teveel is schadelijk voor het milieu.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Dit gas houdt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namelijk warmte vast, waardoor de aarde opwarmt: het broeikaseffect.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10746</xdr:colOff>
      <xdr:row>7</xdr:row>
      <xdr:rowOff>4883</xdr:rowOff>
    </xdr:from>
    <xdr:to>
      <xdr:col>16</xdr:col>
      <xdr:colOff>365174</xdr:colOff>
      <xdr:row>22</xdr:row>
      <xdr:rowOff>103357</xdr:rowOff>
    </xdr:to>
    <xdr:graphicFrame macro="">
      <xdr:nvGraphicFramePr>
        <xdr:cNvPr id="1034" name="Grafiek 1">
          <a:extLst>
            <a:ext uri="{FF2B5EF4-FFF2-40B4-BE49-F238E27FC236}">
              <a16:creationId xmlns:a16="http://schemas.microsoft.com/office/drawing/2014/main" id="{00000000-0008-0000-0200-00000A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234463</xdr:colOff>
      <xdr:row>24</xdr:row>
      <xdr:rowOff>58613</xdr:rowOff>
    </xdr:from>
    <xdr:to>
      <xdr:col>18</xdr:col>
      <xdr:colOff>508001</xdr:colOff>
      <xdr:row>44</xdr:row>
      <xdr:rowOff>16410</xdr:rowOff>
    </xdr:to>
    <xdr:graphicFrame macro="">
      <xdr:nvGraphicFramePr>
        <xdr:cNvPr id="1036" name="Grafiek 3">
          <a:extLst>
            <a:ext uri="{FF2B5EF4-FFF2-40B4-BE49-F238E27FC236}">
              <a16:creationId xmlns:a16="http://schemas.microsoft.com/office/drawing/2014/main" id="{00000000-0008-0000-0200-00000C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37</xdr:row>
      <xdr:rowOff>169334</xdr:rowOff>
    </xdr:from>
    <xdr:to>
      <xdr:col>7</xdr:col>
      <xdr:colOff>876323</xdr:colOff>
      <xdr:row>44</xdr:row>
      <xdr:rowOff>21461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320817C5-9CCA-6B4C-85BD-A1C98D1FA1BA}"/>
            </a:ext>
          </a:extLst>
        </xdr:cNvPr>
        <xdr:cNvSpPr txBox="1"/>
      </xdr:nvSpPr>
      <xdr:spPr>
        <a:xfrm>
          <a:off x="0" y="6646334"/>
          <a:ext cx="4876823" cy="11115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bIns="0" rtlCol="0" anchor="t"/>
        <a:lstStyle/>
        <a:p>
          <a:r>
            <a:rPr lang="nl-NL" sz="900" b="1" i="0">
              <a:latin typeface="Arial" panose="020B0604020202020204" pitchFamily="34" charset="0"/>
              <a:cs typeface="Arial" panose="020B0604020202020204" pitchFamily="34" charset="0"/>
            </a:rPr>
            <a:t>Voor de beeldvorming:</a:t>
          </a: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CO₂ kennen we allemaal als de koolstofdioxide of koolzuurgas in onze frisdrank of biertje.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Bomen en planten hebben naast water, voeding en zonlicht CO₂ nodig om te groeien.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Een gemiddelde huishouden (2,2 personen) stoot zo'n 20 ton CO₂ per jaaruit (waaronder 29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% voor spullen, 20% voor voedsel, 19% voor energie en nog eens 19% voor transport).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Bij verbranding van fossiele stoffen komt er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CO₂ vrij, teveel is schadelijk voor het milieu.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Dit gas houdt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namelijk warmte vast, waardoor de aarde opwarmt: het broeikaseffect.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4</xdr:col>
      <xdr:colOff>1367088</xdr:colOff>
      <xdr:row>3</xdr:row>
      <xdr:rowOff>166687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5DE75B89-E6FF-3931-7471-4BEECF567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9958" y="177271"/>
          <a:ext cx="2377797" cy="52122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10743</xdr:colOff>
      <xdr:row>7</xdr:row>
      <xdr:rowOff>4885</xdr:rowOff>
    </xdr:from>
    <xdr:to>
      <xdr:col>16</xdr:col>
      <xdr:colOff>365171</xdr:colOff>
      <xdr:row>22</xdr:row>
      <xdr:rowOff>103359</xdr:rowOff>
    </xdr:to>
    <xdr:graphicFrame macro="">
      <xdr:nvGraphicFramePr>
        <xdr:cNvPr id="3082" name="Grafiek 1">
          <a:extLst>
            <a:ext uri="{FF2B5EF4-FFF2-40B4-BE49-F238E27FC236}">
              <a16:creationId xmlns:a16="http://schemas.microsoft.com/office/drawing/2014/main" id="{00000000-0008-0000-0400-00000A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234463</xdr:colOff>
      <xdr:row>24</xdr:row>
      <xdr:rowOff>58614</xdr:rowOff>
    </xdr:from>
    <xdr:to>
      <xdr:col>18</xdr:col>
      <xdr:colOff>508001</xdr:colOff>
      <xdr:row>44</xdr:row>
      <xdr:rowOff>16411</xdr:rowOff>
    </xdr:to>
    <xdr:graphicFrame macro="">
      <xdr:nvGraphicFramePr>
        <xdr:cNvPr id="3084" name="Grafiek 4">
          <a:extLst>
            <a:ext uri="{FF2B5EF4-FFF2-40B4-BE49-F238E27FC236}">
              <a16:creationId xmlns:a16="http://schemas.microsoft.com/office/drawing/2014/main" id="{00000000-0008-0000-0400-00000C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37</xdr:row>
      <xdr:rowOff>169335</xdr:rowOff>
    </xdr:from>
    <xdr:to>
      <xdr:col>7</xdr:col>
      <xdr:colOff>876323</xdr:colOff>
      <xdr:row>44</xdr:row>
      <xdr:rowOff>21462</xdr:rowOff>
    </xdr:to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BE2410C5-DBD9-1344-8DB4-2014E90E4F00}"/>
            </a:ext>
          </a:extLst>
        </xdr:cNvPr>
        <xdr:cNvSpPr txBox="1"/>
      </xdr:nvSpPr>
      <xdr:spPr>
        <a:xfrm>
          <a:off x="0" y="6646335"/>
          <a:ext cx="4876823" cy="11115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bIns="0" rtlCol="0" anchor="t"/>
        <a:lstStyle/>
        <a:p>
          <a:r>
            <a:rPr lang="nl-NL" sz="900" b="1" i="0">
              <a:latin typeface="Arial" panose="020B0604020202020204" pitchFamily="34" charset="0"/>
              <a:cs typeface="Arial" panose="020B0604020202020204" pitchFamily="34" charset="0"/>
            </a:rPr>
            <a:t>Voor de beeldvorming:</a:t>
          </a: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CO₂ kennen we allemaal als de koolstofdioxide of koolzuurgas in onze frisdrank of biertje.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Bomen en planten hebben naast water, voeding en zonlicht CO₂ nodig om te groeien.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Een gemiddelde huishouden (2,2 personen) stoot zo'n 20 ton CO₂ per jaaruit (waaronder 29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% voor spullen, 20% voor voedsel, 19% voor energie en nog eens 19% voor transport).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Bij verbranding van fossiele stoffen komt er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CO₂ vrij, teveel is schadelijk voor het milieu.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Dit gas houdt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namelijk warmte vast, waardoor de aarde opwarmt: het broeikaseffect.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10743</xdr:colOff>
      <xdr:row>7</xdr:row>
      <xdr:rowOff>4884</xdr:rowOff>
    </xdr:from>
    <xdr:to>
      <xdr:col>16</xdr:col>
      <xdr:colOff>365171</xdr:colOff>
      <xdr:row>22</xdr:row>
      <xdr:rowOff>103358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96781E53-4FC8-FB4D-8F70-5B1E217858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234463</xdr:colOff>
      <xdr:row>24</xdr:row>
      <xdr:rowOff>58614</xdr:rowOff>
    </xdr:from>
    <xdr:to>
      <xdr:col>18</xdr:col>
      <xdr:colOff>508001</xdr:colOff>
      <xdr:row>44</xdr:row>
      <xdr:rowOff>16411</xdr:rowOff>
    </xdr:to>
    <xdr:graphicFrame macro="">
      <xdr:nvGraphicFramePr>
        <xdr:cNvPr id="4" name="Grafiek 4">
          <a:extLst>
            <a:ext uri="{FF2B5EF4-FFF2-40B4-BE49-F238E27FC236}">
              <a16:creationId xmlns:a16="http://schemas.microsoft.com/office/drawing/2014/main" id="{24CFF3C6-D6C3-F248-8C81-9D9BE82C16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37</xdr:row>
      <xdr:rowOff>169334</xdr:rowOff>
    </xdr:from>
    <xdr:to>
      <xdr:col>7</xdr:col>
      <xdr:colOff>876323</xdr:colOff>
      <xdr:row>44</xdr:row>
      <xdr:rowOff>21461</xdr:rowOff>
    </xdr:to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81671FBC-ABD9-5B41-AE87-4E2AB0AE2AC4}"/>
            </a:ext>
          </a:extLst>
        </xdr:cNvPr>
        <xdr:cNvSpPr txBox="1"/>
      </xdr:nvSpPr>
      <xdr:spPr>
        <a:xfrm>
          <a:off x="0" y="6646334"/>
          <a:ext cx="4876823" cy="11115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bIns="0" rtlCol="0" anchor="t"/>
        <a:lstStyle/>
        <a:p>
          <a:r>
            <a:rPr lang="nl-NL" sz="900" b="1" i="0">
              <a:latin typeface="Arial" panose="020B0604020202020204" pitchFamily="34" charset="0"/>
              <a:cs typeface="Arial" panose="020B0604020202020204" pitchFamily="34" charset="0"/>
            </a:rPr>
            <a:t>Voor de beeldvorming:</a:t>
          </a: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CO₂ kennen we allemaal als de koolstofdioxide of koolzuurgas in onze frisdrank of biertje.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Bomen en planten hebben naast water, voeding en zonlicht CO₂ nodig om te groeien.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Een gemiddelde huishouden (2,2 personen) stoot zo'n 20 ton CO₂ per jaaruit (waaronder 29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% voor spullen, 20% voor voedsel, 19% voor energie en nog eens 19% voor transport).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Bij verbranding van fossiele stoffen komt er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CO₂ vrij, teveel is schadelijk voor het milieu.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Dit gas houdt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namelijk warmte vast, waardoor de aarde opwarmt: het broeikaseffect.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10744</xdr:colOff>
      <xdr:row>7</xdr:row>
      <xdr:rowOff>4885</xdr:rowOff>
    </xdr:from>
    <xdr:to>
      <xdr:col>16</xdr:col>
      <xdr:colOff>365172</xdr:colOff>
      <xdr:row>22</xdr:row>
      <xdr:rowOff>103359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234463</xdr:colOff>
      <xdr:row>23</xdr:row>
      <xdr:rowOff>143283</xdr:rowOff>
    </xdr:from>
    <xdr:to>
      <xdr:col>18</xdr:col>
      <xdr:colOff>508001</xdr:colOff>
      <xdr:row>43</xdr:row>
      <xdr:rowOff>101081</xdr:rowOff>
    </xdr:to>
    <xdr:graphicFrame macro="">
      <xdr:nvGraphicFramePr>
        <xdr:cNvPr id="4" name="Grafiek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37</xdr:row>
      <xdr:rowOff>74081</xdr:rowOff>
    </xdr:from>
    <xdr:to>
      <xdr:col>7</xdr:col>
      <xdr:colOff>876323</xdr:colOff>
      <xdr:row>43</xdr:row>
      <xdr:rowOff>106125</xdr:rowOff>
    </xdr:to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CC3F3500-FFF0-3E4B-9E76-6F2561439AE3}"/>
            </a:ext>
          </a:extLst>
        </xdr:cNvPr>
        <xdr:cNvSpPr txBox="1"/>
      </xdr:nvSpPr>
      <xdr:spPr>
        <a:xfrm>
          <a:off x="0" y="6551081"/>
          <a:ext cx="4876823" cy="11115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bIns="0" rtlCol="0" anchor="t"/>
        <a:lstStyle/>
        <a:p>
          <a:r>
            <a:rPr lang="nl-NL" sz="900" b="1" i="0">
              <a:latin typeface="Arial" panose="020B0604020202020204" pitchFamily="34" charset="0"/>
              <a:cs typeface="Arial" panose="020B0604020202020204" pitchFamily="34" charset="0"/>
            </a:rPr>
            <a:t>Voor de beeldvorming:</a:t>
          </a: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CO₂ kennen we allemaal als de koolstofdioxide of koolzuurgas in onze frisdrank of biertje.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Bomen en planten hebben naast water, voeding en zonlicht CO₂ nodig om te groeien.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Een gemiddelde huishouden (2,2 personen) stoot zo'n 20 ton CO₂ per jaaruit (waaronder 29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% voor spullen, 20% voor voedsel, 19% voor energie en nog eens 19% voor transport).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Bij verbranding van fossiele stoffen komt er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CO₂ vrij, teveel is schadelijk voor het milieu.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Dit gas houdt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namelijk warmte vast, waardoor de aarde opwarmt: het broeikaseffect.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10743</xdr:colOff>
      <xdr:row>7</xdr:row>
      <xdr:rowOff>4885</xdr:rowOff>
    </xdr:from>
    <xdr:to>
      <xdr:col>16</xdr:col>
      <xdr:colOff>365171</xdr:colOff>
      <xdr:row>22</xdr:row>
      <xdr:rowOff>103359</xdr:rowOff>
    </xdr:to>
    <xdr:graphicFrame macro="">
      <xdr:nvGraphicFramePr>
        <xdr:cNvPr id="4106" name="Grafiek 1">
          <a:extLst>
            <a:ext uri="{FF2B5EF4-FFF2-40B4-BE49-F238E27FC236}">
              <a16:creationId xmlns:a16="http://schemas.microsoft.com/office/drawing/2014/main" id="{00000000-0008-0000-0600-00000A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234461</xdr:colOff>
      <xdr:row>24</xdr:row>
      <xdr:rowOff>58615</xdr:rowOff>
    </xdr:from>
    <xdr:to>
      <xdr:col>18</xdr:col>
      <xdr:colOff>508000</xdr:colOff>
      <xdr:row>44</xdr:row>
      <xdr:rowOff>16412</xdr:rowOff>
    </xdr:to>
    <xdr:graphicFrame macro="">
      <xdr:nvGraphicFramePr>
        <xdr:cNvPr id="4108" name="Grafiek 3">
          <a:extLst>
            <a:ext uri="{FF2B5EF4-FFF2-40B4-BE49-F238E27FC236}">
              <a16:creationId xmlns:a16="http://schemas.microsoft.com/office/drawing/2014/main" id="{00000000-0008-0000-0600-00000C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37</xdr:row>
      <xdr:rowOff>169334</xdr:rowOff>
    </xdr:from>
    <xdr:to>
      <xdr:col>7</xdr:col>
      <xdr:colOff>876323</xdr:colOff>
      <xdr:row>44</xdr:row>
      <xdr:rowOff>21461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B6AF0F4E-584F-AB4A-B569-0E0A6DAB36BE}"/>
            </a:ext>
          </a:extLst>
        </xdr:cNvPr>
        <xdr:cNvSpPr txBox="1"/>
      </xdr:nvSpPr>
      <xdr:spPr>
        <a:xfrm>
          <a:off x="0" y="6646334"/>
          <a:ext cx="4876823" cy="11115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bIns="0" rtlCol="0" anchor="t"/>
        <a:lstStyle/>
        <a:p>
          <a:r>
            <a:rPr lang="nl-NL" sz="900" b="1" i="0">
              <a:latin typeface="Arial" panose="020B0604020202020204" pitchFamily="34" charset="0"/>
              <a:cs typeface="Arial" panose="020B0604020202020204" pitchFamily="34" charset="0"/>
            </a:rPr>
            <a:t>Voor de beeldvorming:</a:t>
          </a: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CO₂ kennen we allemaal als de koolstofdioxide of koolzuurgas in onze frisdrank of biertje.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Bomen en planten hebben naast water, voeding en zonlicht CO₂ nodig om te groeien.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Een gemiddelde huishouden (2,2 personen) stoot zo'n 20 ton CO₂ per jaaruit (waaronder 29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% voor spullen, 20% voor voedsel, 19% voor energie en nog eens 19% voor transport).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Bij verbranding van fossiele stoffen komt er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CO₂ vrij, teveel is schadelijk voor het milieu.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Dit gas houdt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namelijk warmte vast, waardoor de aarde opwarmt: het broeikaseffect.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10745</xdr:colOff>
      <xdr:row>7</xdr:row>
      <xdr:rowOff>4885</xdr:rowOff>
    </xdr:from>
    <xdr:to>
      <xdr:col>16</xdr:col>
      <xdr:colOff>365173</xdr:colOff>
      <xdr:row>22</xdr:row>
      <xdr:rowOff>103359</xdr:rowOff>
    </xdr:to>
    <xdr:graphicFrame macro="">
      <xdr:nvGraphicFramePr>
        <xdr:cNvPr id="25610" name="Grafiek 1">
          <a:extLst>
            <a:ext uri="{FF2B5EF4-FFF2-40B4-BE49-F238E27FC236}">
              <a16:creationId xmlns:a16="http://schemas.microsoft.com/office/drawing/2014/main" id="{00000000-0008-0000-0A00-00000A6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234463</xdr:colOff>
      <xdr:row>23</xdr:row>
      <xdr:rowOff>143283</xdr:rowOff>
    </xdr:from>
    <xdr:to>
      <xdr:col>18</xdr:col>
      <xdr:colOff>508001</xdr:colOff>
      <xdr:row>43</xdr:row>
      <xdr:rowOff>101081</xdr:rowOff>
    </xdr:to>
    <xdr:graphicFrame macro="">
      <xdr:nvGraphicFramePr>
        <xdr:cNvPr id="25612" name="Grafiek 3">
          <a:extLst>
            <a:ext uri="{FF2B5EF4-FFF2-40B4-BE49-F238E27FC236}">
              <a16:creationId xmlns:a16="http://schemas.microsoft.com/office/drawing/2014/main" id="{00000000-0008-0000-0A00-00000C6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37</xdr:row>
      <xdr:rowOff>74081</xdr:rowOff>
    </xdr:from>
    <xdr:to>
      <xdr:col>7</xdr:col>
      <xdr:colOff>876323</xdr:colOff>
      <xdr:row>43</xdr:row>
      <xdr:rowOff>106125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32312990-2D96-0644-933A-B181EF6C2F3B}"/>
            </a:ext>
          </a:extLst>
        </xdr:cNvPr>
        <xdr:cNvSpPr txBox="1"/>
      </xdr:nvSpPr>
      <xdr:spPr>
        <a:xfrm>
          <a:off x="0" y="6551081"/>
          <a:ext cx="4876823" cy="11115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bIns="0" rtlCol="0" anchor="t"/>
        <a:lstStyle/>
        <a:p>
          <a:r>
            <a:rPr lang="nl-NL" sz="900" b="1" i="0">
              <a:latin typeface="Arial" panose="020B0604020202020204" pitchFamily="34" charset="0"/>
              <a:cs typeface="Arial" panose="020B0604020202020204" pitchFamily="34" charset="0"/>
            </a:rPr>
            <a:t>Voor de beeldvorming:</a:t>
          </a: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CO₂ kennen we allemaal als de koolstofdioxide of koolzuurgas in onze frisdrank of biertje.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Bomen en planten hebben naast water, voeding en zonlicht CO₂ nodig om te groeien.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Een gemiddelde huishouden (2,2 personen) stoot zo'n 20 ton CO₂ per jaaruit (waaronder 29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% voor spullen, 20% voor voedsel, 19% voor energie en nog eens 19% voor transport).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Bij verbranding van fossiele stoffen komt er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CO₂ vrij, teveel is schadelijk voor het milieu.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Dit gas houdt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namelijk warmte vast, waardoor de aarde opwarmt: het broeikaseffect.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10743</xdr:colOff>
      <xdr:row>7</xdr:row>
      <xdr:rowOff>4884</xdr:rowOff>
    </xdr:from>
    <xdr:to>
      <xdr:col>16</xdr:col>
      <xdr:colOff>365171</xdr:colOff>
      <xdr:row>22</xdr:row>
      <xdr:rowOff>103358</xdr:rowOff>
    </xdr:to>
    <xdr:graphicFrame macro="">
      <xdr:nvGraphicFramePr>
        <xdr:cNvPr id="6154" name="Grafiek 1">
          <a:extLst>
            <a:ext uri="{FF2B5EF4-FFF2-40B4-BE49-F238E27FC236}">
              <a16:creationId xmlns:a16="http://schemas.microsoft.com/office/drawing/2014/main" id="{00000000-0008-0000-0800-00000A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234463</xdr:colOff>
      <xdr:row>24</xdr:row>
      <xdr:rowOff>58614</xdr:rowOff>
    </xdr:from>
    <xdr:to>
      <xdr:col>18</xdr:col>
      <xdr:colOff>508001</xdr:colOff>
      <xdr:row>44</xdr:row>
      <xdr:rowOff>16411</xdr:rowOff>
    </xdr:to>
    <xdr:graphicFrame macro="">
      <xdr:nvGraphicFramePr>
        <xdr:cNvPr id="6156" name="Grafiek 3">
          <a:extLst>
            <a:ext uri="{FF2B5EF4-FFF2-40B4-BE49-F238E27FC236}">
              <a16:creationId xmlns:a16="http://schemas.microsoft.com/office/drawing/2014/main" id="{00000000-0008-0000-0800-00000C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37</xdr:row>
      <xdr:rowOff>169334</xdr:rowOff>
    </xdr:from>
    <xdr:to>
      <xdr:col>7</xdr:col>
      <xdr:colOff>876323</xdr:colOff>
      <xdr:row>44</xdr:row>
      <xdr:rowOff>21461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F06FFD74-F581-9548-B5FE-2F99B480BC13}"/>
            </a:ext>
          </a:extLst>
        </xdr:cNvPr>
        <xdr:cNvSpPr txBox="1"/>
      </xdr:nvSpPr>
      <xdr:spPr>
        <a:xfrm>
          <a:off x="0" y="6646334"/>
          <a:ext cx="4876823" cy="11115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bIns="0" rtlCol="0" anchor="t"/>
        <a:lstStyle/>
        <a:p>
          <a:r>
            <a:rPr lang="nl-NL" sz="900" b="1" i="0">
              <a:latin typeface="Arial" panose="020B0604020202020204" pitchFamily="34" charset="0"/>
              <a:cs typeface="Arial" panose="020B0604020202020204" pitchFamily="34" charset="0"/>
            </a:rPr>
            <a:t>Voor de beeldvorming:</a:t>
          </a: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CO₂ kennen we allemaal als de koolstofdioxide of koolzuurgas in onze frisdrank of biertje.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Bomen en planten hebben naast water, voeding en zonlicht CO₂ nodig om te groeien.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Een gemiddelde huishouden (2,2 personen) stoot zo'n 20 ton CO₂ per jaaruit (waaronder 29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% voor spullen, 20% voor voedsel, 19% voor energie en nog eens 19% voor transport).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Bij verbranding van fossiele stoffen komt er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CO₂ vrij, teveel is schadelijk voor het milieu.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Dit gas houdt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namelijk warmte vast, waardoor de aarde opwarmt: het broeikaseffect.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10743</xdr:colOff>
      <xdr:row>7</xdr:row>
      <xdr:rowOff>4885</xdr:rowOff>
    </xdr:from>
    <xdr:to>
      <xdr:col>16</xdr:col>
      <xdr:colOff>365171</xdr:colOff>
      <xdr:row>22</xdr:row>
      <xdr:rowOff>103359</xdr:rowOff>
    </xdr:to>
    <xdr:graphicFrame macro="">
      <xdr:nvGraphicFramePr>
        <xdr:cNvPr id="24587" name="Grafiek 1">
          <a:extLst>
            <a:ext uri="{FF2B5EF4-FFF2-40B4-BE49-F238E27FC236}">
              <a16:creationId xmlns:a16="http://schemas.microsoft.com/office/drawing/2014/main" id="{00000000-0008-0000-0900-00000B6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234463</xdr:colOff>
      <xdr:row>24</xdr:row>
      <xdr:rowOff>58614</xdr:rowOff>
    </xdr:from>
    <xdr:to>
      <xdr:col>18</xdr:col>
      <xdr:colOff>508001</xdr:colOff>
      <xdr:row>44</xdr:row>
      <xdr:rowOff>16411</xdr:rowOff>
    </xdr:to>
    <xdr:graphicFrame macro="">
      <xdr:nvGraphicFramePr>
        <xdr:cNvPr id="24589" name="Grafiek 3">
          <a:extLst>
            <a:ext uri="{FF2B5EF4-FFF2-40B4-BE49-F238E27FC236}">
              <a16:creationId xmlns:a16="http://schemas.microsoft.com/office/drawing/2014/main" id="{00000000-0008-0000-0900-00000D6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37</xdr:row>
      <xdr:rowOff>169334</xdr:rowOff>
    </xdr:from>
    <xdr:to>
      <xdr:col>7</xdr:col>
      <xdr:colOff>876323</xdr:colOff>
      <xdr:row>44</xdr:row>
      <xdr:rowOff>21461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664E48F1-DDAB-5E48-A449-D4D7096423A0}"/>
            </a:ext>
          </a:extLst>
        </xdr:cNvPr>
        <xdr:cNvSpPr txBox="1"/>
      </xdr:nvSpPr>
      <xdr:spPr>
        <a:xfrm>
          <a:off x="0" y="6646334"/>
          <a:ext cx="4876823" cy="11115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bIns="0" rtlCol="0" anchor="t"/>
        <a:lstStyle/>
        <a:p>
          <a:r>
            <a:rPr lang="nl-NL" sz="900" b="1" i="0">
              <a:latin typeface="Arial" panose="020B0604020202020204" pitchFamily="34" charset="0"/>
              <a:cs typeface="Arial" panose="020B0604020202020204" pitchFamily="34" charset="0"/>
            </a:rPr>
            <a:t>Voor de beeldvorming:</a:t>
          </a: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CO₂ kennen we allemaal als de koolstofdioxide of koolzuurgas in onze frisdrank of biertje.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Bomen en planten hebben naast water, voeding en zonlicht CO₂ nodig om te groeien.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Een gemiddelde huishouden (2,2 personen) stoot zo'n 20 ton CO₂ per jaaruit (waaronder 29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% voor spullen, 20% voor voedsel, 19% voor energie en nog eens 19% voor transport).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•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Bij verbranding van fossiele stoffen komt er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CO₂ vrij, teveel is schadelijk voor het milieu.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nl-NL" sz="900" i="0">
              <a:latin typeface="Arial" panose="020B0604020202020204" pitchFamily="34" charset="0"/>
              <a:cs typeface="Arial" panose="020B0604020202020204" pitchFamily="34" charset="0"/>
            </a:rPr>
            <a:t>Dit gas houdt</a:t>
          </a:r>
          <a:r>
            <a:rPr lang="nl-NL" sz="900" i="0" baseline="0">
              <a:latin typeface="Arial" panose="020B0604020202020204" pitchFamily="34" charset="0"/>
              <a:cs typeface="Arial" panose="020B0604020202020204" pitchFamily="34" charset="0"/>
            </a:rPr>
            <a:t> namelijk warmte vast, waardoor de aarde opwarmt: het broeikaseffect.</a:t>
          </a:r>
          <a:endParaRPr lang="nl-NL" sz="900" i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7" dT="2025-09-04T09:35:49.55" personId="{00000000-0000-0000-0000-000000000000}" id="{E307128B-1BDC-4C3B-93C1-1D9FE6B6B280}">
    <text xml:space="preserve">Diesel: 0,8 x 3256 =2604,8
HVO100: 0,2 x 347 = 69,4
Nieuwe conversiefactor HVO20: 2674,2
</text>
  </threadedComment>
  <threadedComment ref="S17" dT="2025-09-11T07:16:03.36" personId="{00000000-0000-0000-0000-000000000000}" id="{892A9465-E396-4A80-B194-54870B6482F9}">
    <text xml:space="preserve">Diesel 0,8x3251=2600,8
HVO 0,2x441=88,2
2689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14999847407452621"/>
    <pageSetUpPr fitToPage="1"/>
  </sheetPr>
  <dimension ref="B1:AT80"/>
  <sheetViews>
    <sheetView zoomScale="80" zoomScaleNormal="80" zoomScalePageLayoutView="85" workbookViewId="0">
      <pane xSplit="3" ySplit="4" topLeftCell="G5" activePane="bottomRight" state="frozen"/>
      <selection pane="topRight" activeCell="D1" sqref="D1"/>
      <selection pane="bottomLeft" activeCell="A5" sqref="A5"/>
      <selection pane="bottomRight" activeCell="M8" sqref="M8:O8"/>
    </sheetView>
  </sheetViews>
  <sheetFormatPr defaultColWidth="8.86328125" defaultRowHeight="14.25" x14ac:dyDescent="0.75"/>
  <cols>
    <col min="1" max="1" width="1.7265625" style="116" customWidth="1"/>
    <col min="2" max="2" width="25" style="116" customWidth="1"/>
    <col min="3" max="3" width="16.26953125" style="117" customWidth="1"/>
    <col min="4" max="4" width="1.1328125" style="117" customWidth="1"/>
    <col min="5" max="5" width="22.1328125" style="118" customWidth="1"/>
    <col min="6" max="6" width="1.1328125" style="117" customWidth="1"/>
    <col min="7" max="10" width="11.26953125" style="118" customWidth="1"/>
    <col min="11" max="11" width="1.1328125" style="117" customWidth="1"/>
    <col min="12" max="12" width="11.26953125" style="118" customWidth="1"/>
    <col min="13" max="13" width="12" style="119" customWidth="1"/>
    <col min="14" max="14" width="10.86328125" style="119" customWidth="1"/>
    <col min="15" max="15" width="12" style="120" customWidth="1"/>
    <col min="16" max="16" width="10.86328125" style="120" customWidth="1"/>
    <col min="17" max="17" width="12" style="121" customWidth="1"/>
    <col min="18" max="18" width="10.86328125" style="121" customWidth="1"/>
    <col min="19" max="19" width="11.26953125" style="121" customWidth="1"/>
    <col min="20" max="20" width="12" style="120" customWidth="1"/>
    <col min="21" max="21" width="10.86328125" style="120" customWidth="1"/>
    <col min="22" max="22" width="12" style="120" customWidth="1"/>
    <col min="23" max="23" width="10.86328125" style="120" customWidth="1"/>
    <col min="24" max="24" width="12" style="120" customWidth="1"/>
    <col min="25" max="25" width="10.86328125" style="120" customWidth="1"/>
    <col min="26" max="26" width="11.26953125" style="121" customWidth="1"/>
    <col min="27" max="27" width="12" style="120" customWidth="1"/>
    <col min="28" max="28" width="13.40625" style="120" customWidth="1"/>
    <col min="29" max="29" width="12" style="120" customWidth="1"/>
    <col min="30" max="30" width="10.86328125" style="120" customWidth="1"/>
    <col min="31" max="31" width="12" style="120" customWidth="1"/>
    <col min="32" max="32" width="10.86328125" style="120" customWidth="1"/>
    <col min="33" max="46" width="8.86328125" style="120"/>
    <col min="47" max="16384" width="8.86328125" style="116"/>
  </cols>
  <sheetData>
    <row r="1" spans="2:46" s="114" customFormat="1" ht="29.15" customHeight="1" x14ac:dyDescent="0.75">
      <c r="B1" s="371" t="s">
        <v>147</v>
      </c>
      <c r="C1" s="371"/>
      <c r="D1" s="112"/>
      <c r="F1" s="112"/>
      <c r="G1" s="113"/>
      <c r="H1" s="113"/>
      <c r="I1" s="113"/>
      <c r="J1" s="113"/>
      <c r="K1" s="112"/>
      <c r="L1" s="113" t="s">
        <v>198</v>
      </c>
      <c r="M1" s="113"/>
      <c r="N1" s="113"/>
      <c r="P1" s="115" t="s">
        <v>131</v>
      </c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13"/>
      <c r="AB1" s="113"/>
      <c r="AC1" s="113"/>
      <c r="AD1" s="113"/>
      <c r="AE1" s="113"/>
      <c r="AF1" s="113"/>
      <c r="AG1" s="113"/>
      <c r="AH1" s="113"/>
      <c r="AI1" s="113"/>
      <c r="AJ1" s="113"/>
      <c r="AK1" s="113"/>
      <c r="AL1" s="113"/>
      <c r="AM1" s="113"/>
      <c r="AN1" s="113"/>
      <c r="AO1" s="113"/>
      <c r="AP1" s="113"/>
      <c r="AQ1" s="113"/>
      <c r="AR1" s="113"/>
      <c r="AS1" s="113"/>
      <c r="AT1" s="113"/>
    </row>
    <row r="3" spans="2:46" s="132" customFormat="1" ht="72" customHeight="1" thickBot="1" x14ac:dyDescent="0.9">
      <c r="B3" s="122" t="s">
        <v>3</v>
      </c>
      <c r="C3" s="123" t="s">
        <v>2</v>
      </c>
      <c r="D3" s="124"/>
      <c r="E3" s="125" t="s">
        <v>197</v>
      </c>
      <c r="F3" s="124"/>
      <c r="G3" s="125" t="s">
        <v>125</v>
      </c>
      <c r="H3" s="125" t="s">
        <v>126</v>
      </c>
      <c r="I3" s="125" t="s">
        <v>127</v>
      </c>
      <c r="J3" s="125" t="s">
        <v>158</v>
      </c>
      <c r="K3" s="126"/>
      <c r="L3" s="125" t="s">
        <v>159</v>
      </c>
      <c r="M3" s="127" t="s">
        <v>160</v>
      </c>
      <c r="N3" s="128" t="s">
        <v>109</v>
      </c>
      <c r="O3" s="127" t="s">
        <v>161</v>
      </c>
      <c r="P3" s="128" t="s">
        <v>109</v>
      </c>
      <c r="Q3" s="129" t="s">
        <v>162</v>
      </c>
      <c r="R3" s="130" t="s">
        <v>110</v>
      </c>
      <c r="S3" s="339" t="s">
        <v>196</v>
      </c>
      <c r="T3" s="127" t="s">
        <v>195</v>
      </c>
      <c r="U3" s="128" t="s">
        <v>110</v>
      </c>
      <c r="V3" s="127" t="s">
        <v>194</v>
      </c>
      <c r="W3" s="128" t="s">
        <v>110</v>
      </c>
      <c r="X3" s="129" t="s">
        <v>193</v>
      </c>
      <c r="Y3" s="130" t="s">
        <v>110</v>
      </c>
      <c r="Z3" s="337" t="s">
        <v>192</v>
      </c>
      <c r="AA3" s="127" t="s">
        <v>191</v>
      </c>
      <c r="AB3" s="128" t="s">
        <v>110</v>
      </c>
      <c r="AC3" s="127" t="s">
        <v>190</v>
      </c>
      <c r="AD3" s="128" t="s">
        <v>110</v>
      </c>
      <c r="AE3" s="129" t="s">
        <v>189</v>
      </c>
      <c r="AF3" s="130" t="s">
        <v>109</v>
      </c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</row>
    <row r="4" spans="2:46" s="135" customFormat="1" ht="16" thickTop="1" thickBot="1" x14ac:dyDescent="0.9">
      <c r="B4" s="133" t="s">
        <v>96</v>
      </c>
      <c r="C4" s="134"/>
      <c r="D4" s="241"/>
      <c r="E4" s="242"/>
      <c r="F4" s="241"/>
      <c r="G4" s="242"/>
      <c r="H4" s="242"/>
      <c r="I4" s="242"/>
      <c r="J4" s="242"/>
      <c r="K4" s="242"/>
      <c r="L4" s="242"/>
      <c r="M4" s="166"/>
      <c r="N4" s="167">
        <f>N6+N35+N50</f>
        <v>664.74405100000001</v>
      </c>
      <c r="O4" s="166"/>
      <c r="P4" s="167">
        <f>P6+P35+P50</f>
        <v>644.40255500000012</v>
      </c>
      <c r="Q4" s="166"/>
      <c r="R4" s="167">
        <f>R6+R35+R50</f>
        <v>1309.146606</v>
      </c>
      <c r="S4" s="241"/>
      <c r="T4" s="166"/>
      <c r="U4" s="167">
        <f>U6+U35+U50</f>
        <v>589.18410100000006</v>
      </c>
      <c r="V4" s="166"/>
      <c r="W4" s="167">
        <f>W6+W35+W50</f>
        <v>0</v>
      </c>
      <c r="X4" s="166"/>
      <c r="Y4" s="167">
        <f>Y6+Y35+Y50</f>
        <v>589.18410100000006</v>
      </c>
      <c r="Z4" s="241"/>
      <c r="AA4" s="166"/>
      <c r="AB4" s="167" t="e">
        <f>AB6+AB35+AB50</f>
        <v>#VALUE!</v>
      </c>
      <c r="AC4" s="166"/>
      <c r="AD4" s="167" t="e">
        <f>AD6+AD35+AD50</f>
        <v>#VALUE!</v>
      </c>
      <c r="AE4" s="166"/>
      <c r="AF4" s="167" t="e">
        <f>AF6+AF35+AF50</f>
        <v>#VALUE!</v>
      </c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</row>
    <row r="5" spans="2:46" ht="18.649999999999999" customHeight="1" thickTop="1" x14ac:dyDescent="0.75">
      <c r="D5" s="243"/>
      <c r="E5" s="244"/>
      <c r="F5" s="243"/>
      <c r="G5" s="244"/>
      <c r="H5" s="244"/>
      <c r="I5" s="244"/>
      <c r="J5" s="244"/>
      <c r="K5" s="243"/>
      <c r="L5" s="244"/>
      <c r="M5" s="169"/>
      <c r="N5" s="169"/>
      <c r="O5" s="169"/>
      <c r="P5" s="169"/>
      <c r="Q5" s="168"/>
      <c r="R5" s="168"/>
      <c r="S5" s="243"/>
      <c r="T5" s="169"/>
      <c r="U5" s="169"/>
      <c r="V5" s="169"/>
      <c r="W5" s="169"/>
      <c r="X5" s="168"/>
      <c r="Y5" s="168"/>
      <c r="Z5" s="243"/>
      <c r="AA5" s="169"/>
      <c r="AB5" s="169"/>
      <c r="AC5" s="169"/>
      <c r="AD5" s="169"/>
      <c r="AE5" s="168"/>
      <c r="AF5" s="168"/>
    </row>
    <row r="6" spans="2:46" s="135" customFormat="1" ht="14.5" x14ac:dyDescent="0.75">
      <c r="B6" s="137" t="s">
        <v>1</v>
      </c>
      <c r="C6" s="138"/>
      <c r="D6" s="245"/>
      <c r="E6" s="246"/>
      <c r="F6" s="245"/>
      <c r="G6" s="246"/>
      <c r="H6" s="246"/>
      <c r="I6" s="246"/>
      <c r="J6" s="246"/>
      <c r="K6" s="246"/>
      <c r="L6" s="246"/>
      <c r="M6" s="170"/>
      <c r="N6" s="171">
        <f>SUM(N7:N33)</f>
        <v>636.77396299999998</v>
      </c>
      <c r="O6" s="170"/>
      <c r="P6" s="171">
        <f>SUM(P7:P33)</f>
        <v>616.43246700000009</v>
      </c>
      <c r="Q6" s="170"/>
      <c r="R6" s="172">
        <f>SUM(R7:R33)</f>
        <v>1253.20643</v>
      </c>
      <c r="S6" s="245"/>
      <c r="T6" s="170"/>
      <c r="U6" s="171">
        <f>SUM(U7:U33)</f>
        <v>589.18410100000006</v>
      </c>
      <c r="V6" s="170"/>
      <c r="W6" s="171">
        <f>SUM(W7:W33)</f>
        <v>0</v>
      </c>
      <c r="X6" s="170"/>
      <c r="Y6" s="172">
        <f>SUM(Y7:Y33)</f>
        <v>589.18410100000006</v>
      </c>
      <c r="Z6" s="245"/>
      <c r="AA6" s="170"/>
      <c r="AB6" s="171" t="e">
        <f>SUM(AB7:AB33)</f>
        <v>#VALUE!</v>
      </c>
      <c r="AC6" s="170"/>
      <c r="AD6" s="171" t="e">
        <f>SUM(AD7:AD33)</f>
        <v>#VALUE!</v>
      </c>
      <c r="AE6" s="170"/>
      <c r="AF6" s="172" t="e">
        <f>SUM(AF7:AF33)</f>
        <v>#VALUE!</v>
      </c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</row>
    <row r="7" spans="2:46" ht="57" x14ac:dyDescent="0.75">
      <c r="B7" s="139" t="s">
        <v>150</v>
      </c>
      <c r="C7" s="140" t="s">
        <v>140</v>
      </c>
      <c r="D7" s="247"/>
      <c r="E7" s="328" t="s">
        <v>176</v>
      </c>
      <c r="F7" s="247"/>
      <c r="G7" s="248">
        <v>3262</v>
      </c>
      <c r="H7" s="249">
        <f t="shared" ref="H7:I9" si="0">G7</f>
        <v>3262</v>
      </c>
      <c r="I7" s="249">
        <f t="shared" si="0"/>
        <v>3262</v>
      </c>
      <c r="J7" s="340">
        <v>3256</v>
      </c>
      <c r="K7" s="250"/>
      <c r="L7" s="249">
        <f t="shared" ref="L7:L30" si="1">J7</f>
        <v>3256</v>
      </c>
      <c r="M7" s="173"/>
      <c r="N7" s="174">
        <f>SUM(M7*L7)/1000000</f>
        <v>0</v>
      </c>
      <c r="O7" s="173"/>
      <c r="P7" s="175">
        <f t="shared" ref="P7:P33" si="2">SUM(O7*L7)/1000000</f>
        <v>0</v>
      </c>
      <c r="Q7" s="176">
        <f t="shared" ref="Q7:Q33" si="3">M7+O7</f>
        <v>0</v>
      </c>
      <c r="R7" s="177">
        <f t="shared" ref="R7:R33" si="4">N7+P7</f>
        <v>0</v>
      </c>
      <c r="S7" s="248">
        <v>3251</v>
      </c>
      <c r="T7" s="173"/>
      <c r="U7" s="174">
        <f t="shared" ref="U7:U33" si="5">SUM(S7*T7)/1000000</f>
        <v>0</v>
      </c>
      <c r="V7" s="173"/>
      <c r="W7" s="175">
        <f t="shared" ref="W7:W33" si="6">SUM(S7*V7)/1000000</f>
        <v>0</v>
      </c>
      <c r="X7" s="176">
        <f t="shared" ref="X7:X33" si="7">T7+V7</f>
        <v>0</v>
      </c>
      <c r="Y7" s="177">
        <f t="shared" ref="Y7:Y33" si="8">U7+W7</f>
        <v>0</v>
      </c>
      <c r="Z7" s="313">
        <f t="shared" ref="Z7:Z33" si="9">S7</f>
        <v>3251</v>
      </c>
      <c r="AA7" s="173"/>
      <c r="AB7" s="174">
        <f t="shared" ref="AB7:AB33" si="10">SUM(Z7*AA7)/1000000</f>
        <v>0</v>
      </c>
      <c r="AC7" s="173"/>
      <c r="AD7" s="175">
        <f t="shared" ref="AD7:AD33" si="11">SUM(Z7*AC7)/1000000</f>
        <v>0</v>
      </c>
      <c r="AE7" s="176">
        <f t="shared" ref="AE7:AE33" si="12">AA7+AC7</f>
        <v>0</v>
      </c>
      <c r="AF7" s="177">
        <f>AB7+AD7</f>
        <v>0</v>
      </c>
    </row>
    <row r="8" spans="2:46" ht="28.5" x14ac:dyDescent="0.75">
      <c r="B8" s="141"/>
      <c r="C8" s="142" t="s">
        <v>141</v>
      </c>
      <c r="D8" s="251"/>
      <c r="E8" s="330" t="s">
        <v>176</v>
      </c>
      <c r="F8" s="251"/>
      <c r="G8" s="252">
        <v>2784</v>
      </c>
      <c r="H8" s="253">
        <f t="shared" si="0"/>
        <v>2784</v>
      </c>
      <c r="I8" s="253">
        <f t="shared" si="0"/>
        <v>2784</v>
      </c>
      <c r="J8" s="288">
        <v>2821</v>
      </c>
      <c r="K8" s="254"/>
      <c r="L8" s="253">
        <f t="shared" si="1"/>
        <v>2821</v>
      </c>
      <c r="M8" s="178">
        <v>3263</v>
      </c>
      <c r="N8" s="179">
        <f t="shared" ref="N8:N33" si="13">SUM(M8*L8)/1000000</f>
        <v>9.2049230000000009</v>
      </c>
      <c r="O8" s="178">
        <v>2933</v>
      </c>
      <c r="P8" s="179">
        <f t="shared" si="2"/>
        <v>8.2739930000000008</v>
      </c>
      <c r="Q8" s="180">
        <f t="shared" si="3"/>
        <v>6196</v>
      </c>
      <c r="R8" s="181">
        <f t="shared" si="4"/>
        <v>17.478916000000002</v>
      </c>
      <c r="S8" s="341">
        <v>2797</v>
      </c>
      <c r="T8" s="178"/>
      <c r="U8" s="179">
        <f t="shared" si="5"/>
        <v>0</v>
      </c>
      <c r="V8" s="178"/>
      <c r="W8" s="182">
        <f t="shared" si="6"/>
        <v>0</v>
      </c>
      <c r="X8" s="180">
        <f t="shared" si="7"/>
        <v>0</v>
      </c>
      <c r="Y8" s="181">
        <f t="shared" si="8"/>
        <v>0</v>
      </c>
      <c r="Z8" s="300">
        <f t="shared" si="9"/>
        <v>2797</v>
      </c>
      <c r="AA8" s="178"/>
      <c r="AB8" s="179">
        <f t="shared" si="10"/>
        <v>0</v>
      </c>
      <c r="AC8" s="178"/>
      <c r="AD8" s="182">
        <f t="shared" si="11"/>
        <v>0</v>
      </c>
      <c r="AE8" s="180">
        <f t="shared" si="12"/>
        <v>0</v>
      </c>
      <c r="AF8" s="181">
        <f t="shared" ref="AF8:AF33" si="14">AB8+AD8</f>
        <v>0</v>
      </c>
    </row>
    <row r="9" spans="2:46" ht="28.5" x14ac:dyDescent="0.75">
      <c r="B9" s="141"/>
      <c r="C9" s="143" t="s">
        <v>199</v>
      </c>
      <c r="D9" s="251"/>
      <c r="E9" s="330"/>
      <c r="F9" s="251"/>
      <c r="G9" s="253" t="s">
        <v>130</v>
      </c>
      <c r="H9" s="253" t="str">
        <f t="shared" si="0"/>
        <v>n.v.t.</v>
      </c>
      <c r="I9" s="253" t="str">
        <f t="shared" si="0"/>
        <v>n.v.t.</v>
      </c>
      <c r="J9" s="253" t="str">
        <f>I9</f>
        <v>n.v.t.</v>
      </c>
      <c r="K9" s="254"/>
      <c r="L9" s="253" t="str">
        <f>J9</f>
        <v>n.v.t.</v>
      </c>
      <c r="M9" s="178" t="s">
        <v>133</v>
      </c>
      <c r="N9" s="179"/>
      <c r="O9" s="178" t="s">
        <v>133</v>
      </c>
      <c r="P9" s="179"/>
      <c r="Q9" s="180"/>
      <c r="R9" s="181">
        <f t="shared" si="4"/>
        <v>0</v>
      </c>
      <c r="S9" s="341">
        <v>2552</v>
      </c>
      <c r="T9" s="178"/>
      <c r="U9" s="179">
        <f t="shared" ref="U9:U10" si="15">SUM(S9*T9)/1000000</f>
        <v>0</v>
      </c>
      <c r="V9" s="178"/>
      <c r="W9" s="182">
        <f t="shared" ref="W9:W10" si="16">SUM(S9*V9)/1000000</f>
        <v>0</v>
      </c>
      <c r="X9" s="180">
        <f t="shared" si="7"/>
        <v>0</v>
      </c>
      <c r="Y9" s="181">
        <f t="shared" si="8"/>
        <v>0</v>
      </c>
      <c r="Z9" s="300">
        <f t="shared" ref="Z9:Z10" si="17">S9</f>
        <v>2552</v>
      </c>
      <c r="AA9" s="178"/>
      <c r="AB9" s="179">
        <f t="shared" ref="AB9:AB10" si="18">SUM(Z9*AA9)/1000000</f>
        <v>0</v>
      </c>
      <c r="AC9" s="178"/>
      <c r="AD9" s="182">
        <f t="shared" ref="AD9:AD10" si="19">SUM(Z9*AC9)/1000000</f>
        <v>0</v>
      </c>
      <c r="AE9" s="180">
        <f t="shared" si="12"/>
        <v>0</v>
      </c>
      <c r="AF9" s="181">
        <f t="shared" si="14"/>
        <v>0</v>
      </c>
    </row>
    <row r="10" spans="2:46" x14ac:dyDescent="0.75">
      <c r="B10" s="141"/>
      <c r="C10" s="142" t="s">
        <v>201</v>
      </c>
      <c r="D10" s="251"/>
      <c r="E10" s="330"/>
      <c r="F10" s="251"/>
      <c r="G10" s="253">
        <v>12000</v>
      </c>
      <c r="H10" s="252">
        <v>12516</v>
      </c>
      <c r="I10" s="253">
        <f>H10</f>
        <v>12516</v>
      </c>
      <c r="J10" s="253">
        <f>I10</f>
        <v>12516</v>
      </c>
      <c r="K10" s="254"/>
      <c r="L10" s="253">
        <f t="shared" ref="L10" si="20">J10</f>
        <v>12516</v>
      </c>
      <c r="M10" s="178"/>
      <c r="N10" s="179">
        <f t="shared" ref="N10" si="21">SUM(M10*L10)/1000000</f>
        <v>0</v>
      </c>
      <c r="O10" s="178"/>
      <c r="P10" s="179">
        <f t="shared" ref="P10" si="22">SUM(O10*L10)/1000000</f>
        <v>0</v>
      </c>
      <c r="Q10" s="180">
        <f t="shared" ref="Q10" si="23">M10+O10</f>
        <v>0</v>
      </c>
      <c r="R10" s="181">
        <f t="shared" ref="R10" si="24">N10+P10</f>
        <v>0</v>
      </c>
      <c r="S10" s="300">
        <f t="shared" ref="S10" si="25">L10</f>
        <v>12516</v>
      </c>
      <c r="T10" s="178"/>
      <c r="U10" s="179">
        <f t="shared" si="15"/>
        <v>0</v>
      </c>
      <c r="V10" s="178"/>
      <c r="W10" s="182">
        <f t="shared" si="16"/>
        <v>0</v>
      </c>
      <c r="X10" s="180">
        <f t="shared" ref="X10" si="26">T10+V10</f>
        <v>0</v>
      </c>
      <c r="Y10" s="181">
        <f t="shared" ref="Y10" si="27">U10+W10</f>
        <v>0</v>
      </c>
      <c r="Z10" s="300">
        <f t="shared" si="17"/>
        <v>12516</v>
      </c>
      <c r="AA10" s="178"/>
      <c r="AB10" s="179">
        <f t="shared" si="18"/>
        <v>0</v>
      </c>
      <c r="AC10" s="178"/>
      <c r="AD10" s="182">
        <f t="shared" si="19"/>
        <v>0</v>
      </c>
      <c r="AE10" s="180">
        <f t="shared" ref="AE10" si="28">AA10+AC10</f>
        <v>0</v>
      </c>
      <c r="AF10" s="181">
        <f t="shared" ref="AF10" si="29">AB10+AD10</f>
        <v>0</v>
      </c>
      <c r="AG10" s="116"/>
      <c r="AH10" s="116"/>
      <c r="AI10" s="116"/>
      <c r="AJ10" s="116"/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</row>
    <row r="11" spans="2:46" x14ac:dyDescent="0.75">
      <c r="B11" s="141"/>
      <c r="C11" s="142" t="s">
        <v>200</v>
      </c>
      <c r="D11" s="251"/>
      <c r="E11" s="330"/>
      <c r="F11" s="251"/>
      <c r="G11" s="252">
        <v>760</v>
      </c>
      <c r="H11" s="252">
        <v>1092</v>
      </c>
      <c r="I11" s="253">
        <f>H11</f>
        <v>1092</v>
      </c>
      <c r="J11" s="288">
        <v>1140</v>
      </c>
      <c r="K11" s="254"/>
      <c r="L11" s="253">
        <f>J11</f>
        <v>1140</v>
      </c>
      <c r="M11" s="178"/>
      <c r="N11" s="179">
        <f t="shared" si="13"/>
        <v>0</v>
      </c>
      <c r="O11" s="178"/>
      <c r="P11" s="179">
        <f t="shared" si="2"/>
        <v>0</v>
      </c>
      <c r="Q11" s="180">
        <f t="shared" ref="Q11:Q13" si="30">M11+O11</f>
        <v>0</v>
      </c>
      <c r="R11" s="181">
        <f t="shared" ref="R11:R13" si="31">N11+P11</f>
        <v>0</v>
      </c>
      <c r="S11" s="341">
        <v>1080</v>
      </c>
      <c r="T11" s="178"/>
      <c r="U11" s="179">
        <f t="shared" si="5"/>
        <v>0</v>
      </c>
      <c r="V11" s="178"/>
      <c r="W11" s="182">
        <f t="shared" si="6"/>
        <v>0</v>
      </c>
      <c r="X11" s="180">
        <f t="shared" ref="X11:X13" si="32">T11+V11</f>
        <v>0</v>
      </c>
      <c r="Y11" s="181">
        <f t="shared" ref="Y11:Y13" si="33">U11+W11</f>
        <v>0</v>
      </c>
      <c r="Z11" s="300">
        <f t="shared" si="9"/>
        <v>1080</v>
      </c>
      <c r="AA11" s="178"/>
      <c r="AB11" s="179">
        <f t="shared" si="10"/>
        <v>0</v>
      </c>
      <c r="AC11" s="178"/>
      <c r="AD11" s="182">
        <f t="shared" si="11"/>
        <v>0</v>
      </c>
      <c r="AE11" s="180">
        <f t="shared" ref="AE11:AE13" si="34">AA11+AC11</f>
        <v>0</v>
      </c>
      <c r="AF11" s="181">
        <f t="shared" ref="AF11:AF13" si="35">AB11+AD11</f>
        <v>0</v>
      </c>
    </row>
    <row r="12" spans="2:46" ht="42.75" x14ac:dyDescent="0.75">
      <c r="B12" s="117" t="s">
        <v>174</v>
      </c>
      <c r="C12" s="143" t="s">
        <v>204</v>
      </c>
      <c r="D12" s="255"/>
      <c r="E12" s="330"/>
      <c r="F12" s="255"/>
      <c r="G12" s="286">
        <v>176</v>
      </c>
      <c r="H12" s="285">
        <f t="shared" ref="H12:H13" si="36">G12</f>
        <v>176</v>
      </c>
      <c r="I12" s="286">
        <v>180</v>
      </c>
      <c r="J12" s="285">
        <f t="shared" ref="J12:J13" si="37">I12</f>
        <v>180</v>
      </c>
      <c r="K12" s="287"/>
      <c r="L12" s="285">
        <f t="shared" si="1"/>
        <v>180</v>
      </c>
      <c r="M12" s="225"/>
      <c r="N12" s="226">
        <f t="shared" si="13"/>
        <v>0</v>
      </c>
      <c r="O12" s="225"/>
      <c r="P12" s="226">
        <f t="shared" ref="P12:P13" si="38">SUM(O12*L12)/1000000</f>
        <v>0</v>
      </c>
      <c r="Q12" s="227">
        <f t="shared" si="30"/>
        <v>0</v>
      </c>
      <c r="R12" s="228">
        <f t="shared" si="31"/>
        <v>0</v>
      </c>
      <c r="S12" s="308">
        <f t="shared" ref="S12" si="39">L12</f>
        <v>180</v>
      </c>
      <c r="T12" s="225"/>
      <c r="U12" s="226">
        <f t="shared" si="5"/>
        <v>0</v>
      </c>
      <c r="V12" s="225"/>
      <c r="W12" s="229">
        <f t="shared" si="6"/>
        <v>0</v>
      </c>
      <c r="X12" s="227">
        <f t="shared" si="32"/>
        <v>0</v>
      </c>
      <c r="Y12" s="228">
        <f t="shared" si="33"/>
        <v>0</v>
      </c>
      <c r="Z12" s="308">
        <f t="shared" si="9"/>
        <v>180</v>
      </c>
      <c r="AA12" s="225"/>
      <c r="AB12" s="226">
        <f t="shared" si="10"/>
        <v>0</v>
      </c>
      <c r="AC12" s="225"/>
      <c r="AD12" s="229">
        <f t="shared" si="11"/>
        <v>0</v>
      </c>
      <c r="AE12" s="227">
        <f t="shared" si="34"/>
        <v>0</v>
      </c>
      <c r="AF12" s="228">
        <f t="shared" si="35"/>
        <v>0</v>
      </c>
    </row>
    <row r="13" spans="2:46" x14ac:dyDescent="0.75">
      <c r="B13" s="144"/>
      <c r="C13" s="143" t="s">
        <v>205</v>
      </c>
      <c r="D13" s="259"/>
      <c r="E13" s="330"/>
      <c r="F13" s="259"/>
      <c r="G13" s="286">
        <v>202</v>
      </c>
      <c r="H13" s="285">
        <f t="shared" si="36"/>
        <v>202</v>
      </c>
      <c r="I13" s="286">
        <v>204</v>
      </c>
      <c r="J13" s="285">
        <f t="shared" si="37"/>
        <v>204</v>
      </c>
      <c r="K13" s="287"/>
      <c r="L13" s="285">
        <f t="shared" si="1"/>
        <v>204</v>
      </c>
      <c r="M13" s="225"/>
      <c r="N13" s="226">
        <f t="shared" si="13"/>
        <v>0</v>
      </c>
      <c r="O13" s="225"/>
      <c r="P13" s="229">
        <f t="shared" si="38"/>
        <v>0</v>
      </c>
      <c r="Q13" s="227">
        <f t="shared" si="30"/>
        <v>0</v>
      </c>
      <c r="R13" s="228">
        <f t="shared" si="31"/>
        <v>0</v>
      </c>
      <c r="S13" s="308">
        <v>195</v>
      </c>
      <c r="T13" s="225"/>
      <c r="U13" s="226">
        <f t="shared" si="5"/>
        <v>0</v>
      </c>
      <c r="V13" s="225"/>
      <c r="W13" s="229">
        <f t="shared" si="6"/>
        <v>0</v>
      </c>
      <c r="X13" s="227">
        <f t="shared" si="32"/>
        <v>0</v>
      </c>
      <c r="Y13" s="228">
        <f t="shared" si="33"/>
        <v>0</v>
      </c>
      <c r="Z13" s="308">
        <f t="shared" si="9"/>
        <v>195</v>
      </c>
      <c r="AA13" s="225"/>
      <c r="AB13" s="226">
        <f t="shared" si="10"/>
        <v>0</v>
      </c>
      <c r="AC13" s="225"/>
      <c r="AD13" s="229">
        <f t="shared" si="11"/>
        <v>0</v>
      </c>
      <c r="AE13" s="227">
        <f t="shared" si="34"/>
        <v>0</v>
      </c>
      <c r="AF13" s="228">
        <f t="shared" si="35"/>
        <v>0</v>
      </c>
    </row>
    <row r="14" spans="2:46" ht="57" x14ac:dyDescent="0.75">
      <c r="B14" s="139" t="s">
        <v>151</v>
      </c>
      <c r="C14" s="140" t="s">
        <v>140</v>
      </c>
      <c r="D14" s="247"/>
      <c r="E14" s="328" t="s">
        <v>177</v>
      </c>
      <c r="F14" s="247"/>
      <c r="G14" s="248">
        <v>3262</v>
      </c>
      <c r="H14" s="249">
        <f>G14</f>
        <v>3262</v>
      </c>
      <c r="I14" s="249">
        <f t="shared" ref="I14:I27" si="40">H14</f>
        <v>3262</v>
      </c>
      <c r="J14" s="248">
        <v>3256</v>
      </c>
      <c r="K14" s="250"/>
      <c r="L14" s="249">
        <f t="shared" si="1"/>
        <v>3256</v>
      </c>
      <c r="M14" s="173"/>
      <c r="N14" s="174">
        <f t="shared" si="13"/>
        <v>0</v>
      </c>
      <c r="O14" s="173"/>
      <c r="P14" s="175">
        <f t="shared" si="2"/>
        <v>0</v>
      </c>
      <c r="Q14" s="176">
        <f t="shared" si="3"/>
        <v>0</v>
      </c>
      <c r="R14" s="177">
        <f t="shared" si="4"/>
        <v>0</v>
      </c>
      <c r="S14" s="248">
        <v>3251</v>
      </c>
      <c r="T14" s="173"/>
      <c r="U14" s="174">
        <f t="shared" si="5"/>
        <v>0</v>
      </c>
      <c r="V14" s="173"/>
      <c r="W14" s="175">
        <f t="shared" si="6"/>
        <v>0</v>
      </c>
      <c r="X14" s="176">
        <f t="shared" si="7"/>
        <v>0</v>
      </c>
      <c r="Y14" s="177">
        <f t="shared" si="8"/>
        <v>0</v>
      </c>
      <c r="Z14" s="313">
        <f t="shared" si="9"/>
        <v>3251</v>
      </c>
      <c r="AA14" s="173"/>
      <c r="AB14" s="174">
        <f t="shared" si="10"/>
        <v>0</v>
      </c>
      <c r="AC14" s="173"/>
      <c r="AD14" s="175">
        <f t="shared" si="11"/>
        <v>0</v>
      </c>
      <c r="AE14" s="176">
        <f t="shared" si="12"/>
        <v>0</v>
      </c>
      <c r="AF14" s="177">
        <f t="shared" si="14"/>
        <v>0</v>
      </c>
    </row>
    <row r="15" spans="2:46" ht="28.5" x14ac:dyDescent="0.75">
      <c r="B15" s="141"/>
      <c r="C15" s="142" t="s">
        <v>141</v>
      </c>
      <c r="D15" s="251"/>
      <c r="E15" s="330"/>
      <c r="F15" s="251"/>
      <c r="G15" s="252">
        <v>2784</v>
      </c>
      <c r="H15" s="253">
        <f>G15</f>
        <v>2784</v>
      </c>
      <c r="I15" s="253">
        <f t="shared" si="40"/>
        <v>2784</v>
      </c>
      <c r="J15" s="252">
        <v>2821</v>
      </c>
      <c r="K15" s="254"/>
      <c r="L15" s="253">
        <f t="shared" si="1"/>
        <v>2821</v>
      </c>
      <c r="M15" s="178"/>
      <c r="N15" s="179">
        <f t="shared" si="13"/>
        <v>0</v>
      </c>
      <c r="O15" s="178"/>
      <c r="P15" s="179">
        <f t="shared" si="2"/>
        <v>0</v>
      </c>
      <c r="Q15" s="180">
        <f t="shared" si="3"/>
        <v>0</v>
      </c>
      <c r="R15" s="181">
        <f t="shared" si="4"/>
        <v>0</v>
      </c>
      <c r="S15" s="341">
        <v>2797</v>
      </c>
      <c r="T15" s="178"/>
      <c r="U15" s="179">
        <f t="shared" si="5"/>
        <v>0</v>
      </c>
      <c r="V15" s="178"/>
      <c r="W15" s="182">
        <f t="shared" si="6"/>
        <v>0</v>
      </c>
      <c r="X15" s="180">
        <f t="shared" si="7"/>
        <v>0</v>
      </c>
      <c r="Y15" s="181">
        <f t="shared" si="8"/>
        <v>0</v>
      </c>
      <c r="Z15" s="300">
        <f t="shared" si="9"/>
        <v>2797</v>
      </c>
      <c r="AA15" s="178"/>
      <c r="AB15" s="179">
        <f t="shared" si="10"/>
        <v>0</v>
      </c>
      <c r="AC15" s="178"/>
      <c r="AD15" s="182">
        <f t="shared" si="11"/>
        <v>0</v>
      </c>
      <c r="AE15" s="180">
        <f t="shared" si="12"/>
        <v>0</v>
      </c>
      <c r="AF15" s="181">
        <f t="shared" si="14"/>
        <v>0</v>
      </c>
    </row>
    <row r="16" spans="2:46" ht="28.5" x14ac:dyDescent="0.75">
      <c r="B16" s="141"/>
      <c r="C16" s="143" t="s">
        <v>169</v>
      </c>
      <c r="D16" s="251"/>
      <c r="E16" s="330"/>
      <c r="F16" s="251"/>
      <c r="G16" s="253">
        <v>1083</v>
      </c>
      <c r="H16" s="252">
        <v>876</v>
      </c>
      <c r="I16" s="253">
        <f t="shared" si="40"/>
        <v>876</v>
      </c>
      <c r="J16" s="252">
        <v>928</v>
      </c>
      <c r="K16" s="254"/>
      <c r="L16" s="253">
        <f t="shared" si="1"/>
        <v>928</v>
      </c>
      <c r="M16" s="178"/>
      <c r="N16" s="179">
        <f t="shared" si="13"/>
        <v>0</v>
      </c>
      <c r="O16" s="178"/>
      <c r="P16" s="179">
        <f t="shared" si="2"/>
        <v>0</v>
      </c>
      <c r="Q16" s="180">
        <f t="shared" ref="Q16" si="41">M16+O16</f>
        <v>0</v>
      </c>
      <c r="R16" s="181">
        <f t="shared" ref="R16" si="42">N16+P16</f>
        <v>0</v>
      </c>
      <c r="S16" s="341">
        <v>830</v>
      </c>
      <c r="T16" s="178"/>
      <c r="U16" s="179">
        <f t="shared" si="5"/>
        <v>0</v>
      </c>
      <c r="V16" s="178"/>
      <c r="W16" s="182">
        <f t="shared" si="6"/>
        <v>0</v>
      </c>
      <c r="X16" s="180">
        <f t="shared" ref="X16" si="43">T16+V16</f>
        <v>0</v>
      </c>
      <c r="Y16" s="181">
        <f t="shared" ref="Y16" si="44">U16+W16</f>
        <v>0</v>
      </c>
      <c r="Z16" s="300">
        <f t="shared" si="9"/>
        <v>830</v>
      </c>
      <c r="AA16" s="178"/>
      <c r="AB16" s="179">
        <f t="shared" si="10"/>
        <v>0</v>
      </c>
      <c r="AC16" s="178"/>
      <c r="AD16" s="182">
        <f t="shared" si="11"/>
        <v>0</v>
      </c>
      <c r="AE16" s="180">
        <f t="shared" ref="AE16" si="45">AA16+AC16</f>
        <v>0</v>
      </c>
      <c r="AF16" s="181">
        <f t="shared" ref="AF16" si="46">AB16+AD16</f>
        <v>0</v>
      </c>
    </row>
    <row r="17" spans="2:46" ht="42.75" customHeight="1" x14ac:dyDescent="0.75">
      <c r="B17" s="141"/>
      <c r="C17" s="143" t="s">
        <v>215</v>
      </c>
      <c r="D17" s="251"/>
      <c r="E17" s="330"/>
      <c r="F17" s="251"/>
      <c r="G17" s="253"/>
      <c r="H17" s="252"/>
      <c r="I17" s="253"/>
      <c r="J17" s="370">
        <v>2674</v>
      </c>
      <c r="K17" s="254"/>
      <c r="L17" s="253">
        <f t="shared" si="1"/>
        <v>2674</v>
      </c>
      <c r="M17" s="178">
        <v>225576</v>
      </c>
      <c r="N17" s="179">
        <f t="shared" si="13"/>
        <v>603.19022399999994</v>
      </c>
      <c r="O17" s="178">
        <v>218317</v>
      </c>
      <c r="P17" s="179">
        <f t="shared" si="2"/>
        <v>583.77965800000004</v>
      </c>
      <c r="Q17" s="180">
        <f t="shared" si="3"/>
        <v>443893</v>
      </c>
      <c r="R17" s="181">
        <f t="shared" si="4"/>
        <v>1186.9698819999999</v>
      </c>
      <c r="S17" s="341">
        <v>2689</v>
      </c>
      <c r="T17" s="178">
        <v>219109</v>
      </c>
      <c r="U17" s="179">
        <f t="shared" si="5"/>
        <v>589.18410100000006</v>
      </c>
      <c r="V17" s="178"/>
      <c r="W17" s="182">
        <f t="shared" si="6"/>
        <v>0</v>
      </c>
      <c r="X17" s="180">
        <f t="shared" si="7"/>
        <v>219109</v>
      </c>
      <c r="Y17" s="181">
        <f t="shared" si="8"/>
        <v>589.18410100000006</v>
      </c>
      <c r="Z17" s="300">
        <f t="shared" si="9"/>
        <v>2689</v>
      </c>
      <c r="AA17" s="178"/>
      <c r="AB17" s="179">
        <f t="shared" si="10"/>
        <v>0</v>
      </c>
      <c r="AC17" s="178"/>
      <c r="AD17" s="182">
        <f t="shared" si="11"/>
        <v>0</v>
      </c>
      <c r="AE17" s="180">
        <f t="shared" si="12"/>
        <v>0</v>
      </c>
      <c r="AF17" s="181">
        <f t="shared" si="14"/>
        <v>0</v>
      </c>
    </row>
    <row r="18" spans="2:46" ht="28.5" x14ac:dyDescent="0.75">
      <c r="B18" s="141"/>
      <c r="C18" s="143" t="s">
        <v>199</v>
      </c>
      <c r="D18" s="251"/>
      <c r="E18" s="330"/>
      <c r="F18" s="251"/>
      <c r="G18" s="252" t="s">
        <v>130</v>
      </c>
      <c r="H18" s="253" t="str">
        <f>G18</f>
        <v>n.v.t.</v>
      </c>
      <c r="I18" s="253" t="str">
        <f t="shared" si="40"/>
        <v>n.v.t.</v>
      </c>
      <c r="J18" s="253" t="str">
        <f>I18</f>
        <v>n.v.t.</v>
      </c>
      <c r="K18" s="254"/>
      <c r="L18" s="253" t="str">
        <f>J18</f>
        <v>n.v.t.</v>
      </c>
      <c r="M18" s="178" t="s">
        <v>133</v>
      </c>
      <c r="N18" s="179"/>
      <c r="O18" s="178" t="s">
        <v>133</v>
      </c>
      <c r="P18" s="179"/>
      <c r="Q18" s="180"/>
      <c r="R18" s="181">
        <f t="shared" ref="R18" si="47">N18+P18</f>
        <v>0</v>
      </c>
      <c r="S18" s="341">
        <v>2552</v>
      </c>
      <c r="T18" s="178"/>
      <c r="U18" s="179">
        <f t="shared" si="5"/>
        <v>0</v>
      </c>
      <c r="V18" s="178"/>
      <c r="W18" s="182">
        <f t="shared" si="6"/>
        <v>0</v>
      </c>
      <c r="X18" s="180">
        <f t="shared" ref="X18" si="48">T18+V18</f>
        <v>0</v>
      </c>
      <c r="Y18" s="181">
        <f t="shared" ref="Y18" si="49">U18+W18</f>
        <v>0</v>
      </c>
      <c r="Z18" s="300">
        <f t="shared" si="9"/>
        <v>2552</v>
      </c>
      <c r="AA18" s="178"/>
      <c r="AB18" s="179">
        <f t="shared" si="10"/>
        <v>0</v>
      </c>
      <c r="AC18" s="178"/>
      <c r="AD18" s="182">
        <f t="shared" si="11"/>
        <v>0</v>
      </c>
      <c r="AE18" s="180">
        <f t="shared" ref="AE18" si="50">AA18+AC18</f>
        <v>0</v>
      </c>
      <c r="AF18" s="181">
        <f t="shared" ref="AF18" si="51">AB18+AD18</f>
        <v>0</v>
      </c>
    </row>
    <row r="19" spans="2:46" ht="30" customHeight="1" x14ac:dyDescent="0.75">
      <c r="B19" s="141"/>
      <c r="C19" s="142" t="s">
        <v>106</v>
      </c>
      <c r="D19" s="251"/>
      <c r="E19" s="330"/>
      <c r="F19" s="251"/>
      <c r="G19" s="253">
        <v>1039</v>
      </c>
      <c r="H19" s="252">
        <v>1049</v>
      </c>
      <c r="I19" s="253">
        <f t="shared" si="40"/>
        <v>1049</v>
      </c>
      <c r="J19" s="252">
        <v>1024</v>
      </c>
      <c r="K19" s="254"/>
      <c r="L19" s="253">
        <f t="shared" si="1"/>
        <v>1024</v>
      </c>
      <c r="M19" s="178"/>
      <c r="N19" s="179">
        <f t="shared" si="13"/>
        <v>0</v>
      </c>
      <c r="O19" s="178"/>
      <c r="P19" s="179">
        <f t="shared" si="2"/>
        <v>0</v>
      </c>
      <c r="Q19" s="180">
        <f t="shared" si="3"/>
        <v>0</v>
      </c>
      <c r="R19" s="181">
        <f t="shared" si="4"/>
        <v>0</v>
      </c>
      <c r="S19" s="341">
        <v>794</v>
      </c>
      <c r="T19" s="178"/>
      <c r="U19" s="179">
        <f t="shared" si="5"/>
        <v>0</v>
      </c>
      <c r="V19" s="178"/>
      <c r="W19" s="182">
        <f t="shared" si="6"/>
        <v>0</v>
      </c>
      <c r="X19" s="180">
        <f t="shared" si="7"/>
        <v>0</v>
      </c>
      <c r="Y19" s="181">
        <f t="shared" si="8"/>
        <v>0</v>
      </c>
      <c r="Z19" s="300">
        <f t="shared" si="9"/>
        <v>794</v>
      </c>
      <c r="AA19" s="178"/>
      <c r="AB19" s="179">
        <f t="shared" si="10"/>
        <v>0</v>
      </c>
      <c r="AC19" s="178"/>
      <c r="AD19" s="182">
        <f t="shared" si="11"/>
        <v>0</v>
      </c>
      <c r="AE19" s="180">
        <f t="shared" si="12"/>
        <v>0</v>
      </c>
      <c r="AF19" s="181">
        <f t="shared" si="14"/>
        <v>0</v>
      </c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</row>
    <row r="20" spans="2:46" ht="30" customHeight="1" x14ac:dyDescent="0.75">
      <c r="B20" s="141"/>
      <c r="C20" s="143" t="s">
        <v>98</v>
      </c>
      <c r="D20" s="255"/>
      <c r="E20" s="335"/>
      <c r="F20" s="255"/>
      <c r="G20" s="256">
        <v>1798</v>
      </c>
      <c r="H20" s="257">
        <f>G20</f>
        <v>1798</v>
      </c>
      <c r="I20" s="253">
        <f t="shared" si="40"/>
        <v>1798</v>
      </c>
      <c r="J20" s="252">
        <v>1802</v>
      </c>
      <c r="K20" s="258"/>
      <c r="L20" s="257">
        <f t="shared" si="1"/>
        <v>1802</v>
      </c>
      <c r="M20" s="183"/>
      <c r="N20" s="184">
        <f t="shared" si="13"/>
        <v>0</v>
      </c>
      <c r="O20" s="183"/>
      <c r="P20" s="184">
        <f t="shared" si="2"/>
        <v>0</v>
      </c>
      <c r="Q20" s="193">
        <f t="shared" si="3"/>
        <v>0</v>
      </c>
      <c r="R20" s="194">
        <f t="shared" si="4"/>
        <v>0</v>
      </c>
      <c r="S20" s="369">
        <v>1792</v>
      </c>
      <c r="T20" s="183"/>
      <c r="U20" s="184">
        <f t="shared" si="5"/>
        <v>0</v>
      </c>
      <c r="V20" s="183"/>
      <c r="W20" s="185">
        <f t="shared" si="6"/>
        <v>0</v>
      </c>
      <c r="X20" s="193">
        <f t="shared" si="7"/>
        <v>0</v>
      </c>
      <c r="Y20" s="194">
        <f t="shared" si="8"/>
        <v>0</v>
      </c>
      <c r="Z20" s="302">
        <f t="shared" si="9"/>
        <v>1792</v>
      </c>
      <c r="AA20" s="183"/>
      <c r="AB20" s="184">
        <f t="shared" si="10"/>
        <v>0</v>
      </c>
      <c r="AC20" s="183"/>
      <c r="AD20" s="185">
        <f t="shared" si="11"/>
        <v>0</v>
      </c>
      <c r="AE20" s="193">
        <f t="shared" si="12"/>
        <v>0</v>
      </c>
      <c r="AF20" s="194">
        <f t="shared" si="14"/>
        <v>0</v>
      </c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</row>
    <row r="21" spans="2:46" ht="57" x14ac:dyDescent="0.75">
      <c r="B21" s="145" t="s">
        <v>152</v>
      </c>
      <c r="C21" s="154" t="s">
        <v>153</v>
      </c>
      <c r="D21" s="263"/>
      <c r="E21" s="328" t="s">
        <v>177</v>
      </c>
      <c r="F21" s="263"/>
      <c r="G21" s="248">
        <v>3262</v>
      </c>
      <c r="H21" s="249">
        <f>G21</f>
        <v>3262</v>
      </c>
      <c r="I21" s="249">
        <f t="shared" si="40"/>
        <v>3262</v>
      </c>
      <c r="J21" s="248">
        <v>3256</v>
      </c>
      <c r="K21" s="250"/>
      <c r="L21" s="249">
        <f t="shared" si="1"/>
        <v>3256</v>
      </c>
      <c r="M21" s="195"/>
      <c r="N21" s="196">
        <f t="shared" si="13"/>
        <v>0</v>
      </c>
      <c r="O21" s="195"/>
      <c r="P21" s="196">
        <f t="shared" si="2"/>
        <v>0</v>
      </c>
      <c r="Q21" s="197">
        <f t="shared" si="3"/>
        <v>0</v>
      </c>
      <c r="R21" s="198">
        <f t="shared" si="4"/>
        <v>0</v>
      </c>
      <c r="S21" s="248">
        <v>3251</v>
      </c>
      <c r="T21" s="195"/>
      <c r="U21" s="196">
        <f t="shared" si="5"/>
        <v>0</v>
      </c>
      <c r="V21" s="195"/>
      <c r="W21" s="199">
        <f t="shared" si="6"/>
        <v>0</v>
      </c>
      <c r="X21" s="200">
        <f t="shared" si="7"/>
        <v>0</v>
      </c>
      <c r="Y21" s="198">
        <f t="shared" si="8"/>
        <v>0</v>
      </c>
      <c r="Z21" s="301">
        <f t="shared" si="9"/>
        <v>3251</v>
      </c>
      <c r="AA21" s="195"/>
      <c r="AB21" s="196">
        <f t="shared" si="10"/>
        <v>0</v>
      </c>
      <c r="AC21" s="195"/>
      <c r="AD21" s="199">
        <f t="shared" si="11"/>
        <v>0</v>
      </c>
      <c r="AE21" s="200">
        <f t="shared" si="12"/>
        <v>0</v>
      </c>
      <c r="AF21" s="198">
        <f t="shared" si="14"/>
        <v>0</v>
      </c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</row>
    <row r="22" spans="2:46" ht="28.5" x14ac:dyDescent="0.75">
      <c r="B22" s="141"/>
      <c r="C22" s="143" t="s">
        <v>202</v>
      </c>
      <c r="D22" s="251"/>
      <c r="E22" s="330"/>
      <c r="F22" s="251"/>
      <c r="G22" s="253">
        <v>345</v>
      </c>
      <c r="H22" s="252">
        <v>314</v>
      </c>
      <c r="I22" s="253">
        <f t="shared" si="40"/>
        <v>314</v>
      </c>
      <c r="J22" s="252">
        <v>347</v>
      </c>
      <c r="K22" s="254"/>
      <c r="L22" s="253">
        <f t="shared" si="1"/>
        <v>347</v>
      </c>
      <c r="M22" s="178"/>
      <c r="N22" s="179">
        <f t="shared" ref="N22" si="52">SUM(M22*L22)/1000000</f>
        <v>0</v>
      </c>
      <c r="O22" s="178"/>
      <c r="P22" s="179">
        <f t="shared" ref="P22" si="53">SUM(O22*L22)/1000000</f>
        <v>0</v>
      </c>
      <c r="Q22" s="180">
        <f t="shared" ref="Q22" si="54">M22+O22</f>
        <v>0</v>
      </c>
      <c r="R22" s="181">
        <f t="shared" ref="R22" si="55">N22+P22</f>
        <v>0</v>
      </c>
      <c r="S22" s="341">
        <v>441</v>
      </c>
      <c r="T22" s="178"/>
      <c r="U22" s="179">
        <f t="shared" ref="U22" si="56">SUM(S22*T22)/1000000</f>
        <v>0</v>
      </c>
      <c r="V22" s="178"/>
      <c r="W22" s="182">
        <f t="shared" ref="W22" si="57">SUM(S22*V22)/1000000</f>
        <v>0</v>
      </c>
      <c r="X22" s="180">
        <f t="shared" ref="X22" si="58">T22+V22</f>
        <v>0</v>
      </c>
      <c r="Y22" s="181">
        <f t="shared" ref="Y22" si="59">U22+W22</f>
        <v>0</v>
      </c>
      <c r="Z22" s="300">
        <f t="shared" ref="Z22" si="60">S22</f>
        <v>441</v>
      </c>
      <c r="AA22" s="178"/>
      <c r="AB22" s="179">
        <f t="shared" ref="AB22" si="61">SUM(Z22*AA22)/1000000</f>
        <v>0</v>
      </c>
      <c r="AC22" s="178"/>
      <c r="AD22" s="182">
        <f t="shared" ref="AD22" si="62">SUM(Z22*AC22)/1000000</f>
        <v>0</v>
      </c>
      <c r="AE22" s="180">
        <f t="shared" ref="AE22" si="63">AA22+AC22</f>
        <v>0</v>
      </c>
      <c r="AF22" s="181">
        <f t="shared" ref="AF22" si="64">AB22+AD22</f>
        <v>0</v>
      </c>
    </row>
    <row r="23" spans="2:46" x14ac:dyDescent="0.75">
      <c r="C23" s="157" t="s">
        <v>214</v>
      </c>
      <c r="D23" s="264"/>
      <c r="E23" s="331"/>
      <c r="F23" s="264"/>
      <c r="G23" s="253" t="s">
        <v>130</v>
      </c>
      <c r="H23" s="253" t="str">
        <f t="shared" ref="H23:I23" si="65">G23</f>
        <v>n.v.t.</v>
      </c>
      <c r="I23" s="253" t="str">
        <f t="shared" si="65"/>
        <v>n.v.t.</v>
      </c>
      <c r="J23" s="253" t="str">
        <f>I23</f>
        <v>n.v.t.</v>
      </c>
      <c r="K23" s="254"/>
      <c r="L23" s="253" t="str">
        <f>J23</f>
        <v>n.v.t.</v>
      </c>
      <c r="M23" s="201" t="s">
        <v>133</v>
      </c>
      <c r="N23" s="202"/>
      <c r="O23" s="201" t="s">
        <v>133</v>
      </c>
      <c r="P23" s="203"/>
      <c r="Q23" s="204"/>
      <c r="R23" s="192">
        <f t="shared" si="4"/>
        <v>0</v>
      </c>
      <c r="S23" s="341" t="s">
        <v>130</v>
      </c>
      <c r="T23" s="201" t="s">
        <v>133</v>
      </c>
      <c r="U23" s="202"/>
      <c r="V23" s="201" t="s">
        <v>133</v>
      </c>
      <c r="W23" s="203"/>
      <c r="X23" s="191"/>
      <c r="Y23" s="192">
        <f t="shared" si="8"/>
        <v>0</v>
      </c>
      <c r="Z23" s="314" t="str">
        <f t="shared" si="9"/>
        <v>n.v.t.</v>
      </c>
      <c r="AA23" s="201"/>
      <c r="AB23" s="202" t="e">
        <f t="shared" si="10"/>
        <v>#VALUE!</v>
      </c>
      <c r="AC23" s="201"/>
      <c r="AD23" s="203" t="e">
        <f t="shared" si="11"/>
        <v>#VALUE!</v>
      </c>
      <c r="AE23" s="191">
        <f t="shared" si="12"/>
        <v>0</v>
      </c>
      <c r="AF23" s="192" t="e">
        <f t="shared" si="14"/>
        <v>#VALUE!</v>
      </c>
      <c r="AG23" s="116"/>
      <c r="AH23" s="116"/>
      <c r="AI23" s="116"/>
      <c r="AJ23" s="116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</row>
    <row r="24" spans="2:46" ht="28.5" x14ac:dyDescent="0.75">
      <c r="B24" s="139" t="s">
        <v>111</v>
      </c>
      <c r="C24" s="140" t="s">
        <v>140</v>
      </c>
      <c r="D24" s="263"/>
      <c r="E24" s="328"/>
      <c r="F24" s="263"/>
      <c r="G24" s="248">
        <v>3262</v>
      </c>
      <c r="H24" s="249">
        <f>G24</f>
        <v>3262</v>
      </c>
      <c r="I24" s="249">
        <f t="shared" si="40"/>
        <v>3262</v>
      </c>
      <c r="J24" s="248">
        <v>3256</v>
      </c>
      <c r="K24" s="267"/>
      <c r="L24" s="249">
        <f t="shared" si="1"/>
        <v>3256</v>
      </c>
      <c r="M24" s="195"/>
      <c r="N24" s="196">
        <f t="shared" si="13"/>
        <v>0</v>
      </c>
      <c r="O24" s="195"/>
      <c r="P24" s="196">
        <f t="shared" si="2"/>
        <v>0</v>
      </c>
      <c r="Q24" s="176">
        <f t="shared" si="3"/>
        <v>0</v>
      </c>
      <c r="R24" s="177">
        <f t="shared" si="4"/>
        <v>0</v>
      </c>
      <c r="S24" s="248">
        <v>3251</v>
      </c>
      <c r="T24" s="195"/>
      <c r="U24" s="196">
        <f t="shared" si="5"/>
        <v>0</v>
      </c>
      <c r="V24" s="195"/>
      <c r="W24" s="174">
        <f t="shared" si="6"/>
        <v>0</v>
      </c>
      <c r="X24" s="176">
        <f t="shared" si="7"/>
        <v>0</v>
      </c>
      <c r="Y24" s="177">
        <f t="shared" si="8"/>
        <v>0</v>
      </c>
      <c r="Z24" s="313">
        <f t="shared" si="9"/>
        <v>3251</v>
      </c>
      <c r="AA24" s="195"/>
      <c r="AB24" s="196">
        <f t="shared" si="10"/>
        <v>0</v>
      </c>
      <c r="AC24" s="195"/>
      <c r="AD24" s="174">
        <f t="shared" si="11"/>
        <v>0</v>
      </c>
      <c r="AE24" s="176">
        <f t="shared" si="12"/>
        <v>0</v>
      </c>
      <c r="AF24" s="177">
        <f t="shared" si="14"/>
        <v>0</v>
      </c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</row>
    <row r="25" spans="2:46" ht="71.25" x14ac:dyDescent="0.75">
      <c r="B25" s="146" t="s">
        <v>97</v>
      </c>
      <c r="C25" s="142" t="s">
        <v>141</v>
      </c>
      <c r="D25" s="251"/>
      <c r="E25" s="330"/>
      <c r="F25" s="251"/>
      <c r="G25" s="252">
        <v>2784</v>
      </c>
      <c r="H25" s="253">
        <f>G25</f>
        <v>2784</v>
      </c>
      <c r="I25" s="253">
        <f t="shared" si="40"/>
        <v>2784</v>
      </c>
      <c r="J25" s="252">
        <v>2821</v>
      </c>
      <c r="K25" s="254"/>
      <c r="L25" s="253">
        <f t="shared" si="1"/>
        <v>2821</v>
      </c>
      <c r="M25" s="178"/>
      <c r="N25" s="179">
        <f t="shared" si="13"/>
        <v>0</v>
      </c>
      <c r="O25" s="178"/>
      <c r="P25" s="179">
        <f t="shared" si="2"/>
        <v>0</v>
      </c>
      <c r="Q25" s="180">
        <f t="shared" si="3"/>
        <v>0</v>
      </c>
      <c r="R25" s="181">
        <f t="shared" si="4"/>
        <v>0</v>
      </c>
      <c r="S25" s="341">
        <v>2797</v>
      </c>
      <c r="T25" s="178"/>
      <c r="U25" s="179">
        <f t="shared" si="5"/>
        <v>0</v>
      </c>
      <c r="V25" s="178"/>
      <c r="W25" s="182">
        <f t="shared" si="6"/>
        <v>0</v>
      </c>
      <c r="X25" s="180">
        <f t="shared" si="7"/>
        <v>0</v>
      </c>
      <c r="Y25" s="181">
        <f t="shared" si="8"/>
        <v>0</v>
      </c>
      <c r="Z25" s="300">
        <f t="shared" si="9"/>
        <v>2797</v>
      </c>
      <c r="AA25" s="178"/>
      <c r="AB25" s="179">
        <f t="shared" si="10"/>
        <v>0</v>
      </c>
      <c r="AC25" s="178"/>
      <c r="AD25" s="182">
        <f t="shared" si="11"/>
        <v>0</v>
      </c>
      <c r="AE25" s="180">
        <f t="shared" si="12"/>
        <v>0</v>
      </c>
      <c r="AF25" s="181">
        <f t="shared" si="14"/>
        <v>0</v>
      </c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</row>
    <row r="26" spans="2:46" ht="43.5" customHeight="1" x14ac:dyDescent="0.75">
      <c r="B26" s="146" t="s">
        <v>18</v>
      </c>
      <c r="C26" s="143" t="s">
        <v>202</v>
      </c>
      <c r="D26" s="251"/>
      <c r="E26" s="330"/>
      <c r="F26" s="251"/>
      <c r="G26" s="253">
        <v>345</v>
      </c>
      <c r="H26" s="252">
        <v>314</v>
      </c>
      <c r="I26" s="253">
        <f t="shared" si="40"/>
        <v>314</v>
      </c>
      <c r="J26" s="252">
        <v>347</v>
      </c>
      <c r="K26" s="254"/>
      <c r="L26" s="253">
        <f t="shared" si="1"/>
        <v>347</v>
      </c>
      <c r="M26" s="178"/>
      <c r="N26" s="179">
        <f t="shared" si="13"/>
        <v>0</v>
      </c>
      <c r="O26" s="178"/>
      <c r="P26" s="179">
        <f t="shared" si="2"/>
        <v>0</v>
      </c>
      <c r="Q26" s="180">
        <f t="shared" si="3"/>
        <v>0</v>
      </c>
      <c r="R26" s="181">
        <f t="shared" si="4"/>
        <v>0</v>
      </c>
      <c r="S26" s="341">
        <v>441</v>
      </c>
      <c r="T26" s="178"/>
      <c r="U26" s="179">
        <f t="shared" si="5"/>
        <v>0</v>
      </c>
      <c r="V26" s="178"/>
      <c r="W26" s="182">
        <f t="shared" si="6"/>
        <v>0</v>
      </c>
      <c r="X26" s="180">
        <f t="shared" si="7"/>
        <v>0</v>
      </c>
      <c r="Y26" s="181">
        <f t="shared" si="8"/>
        <v>0</v>
      </c>
      <c r="Z26" s="300">
        <f t="shared" si="9"/>
        <v>441</v>
      </c>
      <c r="AA26" s="178"/>
      <c r="AB26" s="179">
        <f t="shared" si="10"/>
        <v>0</v>
      </c>
      <c r="AC26" s="178"/>
      <c r="AD26" s="182">
        <f t="shared" si="11"/>
        <v>0</v>
      </c>
      <c r="AE26" s="180">
        <f t="shared" si="12"/>
        <v>0</v>
      </c>
      <c r="AF26" s="181">
        <f t="shared" si="14"/>
        <v>0</v>
      </c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</row>
    <row r="27" spans="2:46" ht="30" customHeight="1" x14ac:dyDescent="0.75">
      <c r="B27" s="141"/>
      <c r="C27" s="143" t="s">
        <v>98</v>
      </c>
      <c r="D27" s="251"/>
      <c r="E27" s="335"/>
      <c r="F27" s="251"/>
      <c r="G27" s="252">
        <v>1798</v>
      </c>
      <c r="H27" s="253">
        <f>G27</f>
        <v>1798</v>
      </c>
      <c r="I27" s="253">
        <f t="shared" si="40"/>
        <v>1798</v>
      </c>
      <c r="J27" s="252">
        <v>1802</v>
      </c>
      <c r="K27" s="254"/>
      <c r="L27" s="253">
        <f t="shared" si="1"/>
        <v>1802</v>
      </c>
      <c r="M27" s="178"/>
      <c r="N27" s="179">
        <f t="shared" si="13"/>
        <v>0</v>
      </c>
      <c r="O27" s="178"/>
      <c r="P27" s="179">
        <f t="shared" si="2"/>
        <v>0</v>
      </c>
      <c r="Q27" s="180">
        <f t="shared" si="3"/>
        <v>0</v>
      </c>
      <c r="R27" s="181">
        <f t="shared" si="4"/>
        <v>0</v>
      </c>
      <c r="S27" s="341">
        <v>1792</v>
      </c>
      <c r="T27" s="178"/>
      <c r="U27" s="179">
        <f t="shared" si="5"/>
        <v>0</v>
      </c>
      <c r="V27" s="178"/>
      <c r="W27" s="182">
        <f t="shared" si="6"/>
        <v>0</v>
      </c>
      <c r="X27" s="180">
        <f t="shared" si="7"/>
        <v>0</v>
      </c>
      <c r="Y27" s="181">
        <f t="shared" si="8"/>
        <v>0</v>
      </c>
      <c r="Z27" s="300">
        <f t="shared" si="9"/>
        <v>1792</v>
      </c>
      <c r="AA27" s="178"/>
      <c r="AB27" s="179">
        <f t="shared" si="10"/>
        <v>0</v>
      </c>
      <c r="AC27" s="178"/>
      <c r="AD27" s="182">
        <f t="shared" si="11"/>
        <v>0</v>
      </c>
      <c r="AE27" s="180">
        <f t="shared" si="12"/>
        <v>0</v>
      </c>
      <c r="AF27" s="181">
        <f t="shared" si="14"/>
        <v>0</v>
      </c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</row>
    <row r="28" spans="2:46" ht="30" customHeight="1" x14ac:dyDescent="0.75">
      <c r="B28" s="141"/>
      <c r="C28" s="142" t="s">
        <v>213</v>
      </c>
      <c r="D28" s="251"/>
      <c r="E28" s="330"/>
      <c r="F28" s="251"/>
      <c r="G28" s="253">
        <v>3035</v>
      </c>
      <c r="H28" s="253">
        <v>3035</v>
      </c>
      <c r="I28" s="253">
        <v>3035</v>
      </c>
      <c r="J28" s="253">
        <v>3035</v>
      </c>
      <c r="K28" s="254"/>
      <c r="L28" s="253">
        <f t="shared" si="1"/>
        <v>3035</v>
      </c>
      <c r="M28" s="178"/>
      <c r="N28" s="179">
        <f t="shared" si="13"/>
        <v>0</v>
      </c>
      <c r="O28" s="178"/>
      <c r="P28" s="179">
        <f t="shared" si="2"/>
        <v>0</v>
      </c>
      <c r="Q28" s="180">
        <f t="shared" si="3"/>
        <v>0</v>
      </c>
      <c r="R28" s="181">
        <f t="shared" si="4"/>
        <v>0</v>
      </c>
      <c r="S28" s="300">
        <f t="shared" ref="S28:S30" si="66">L28</f>
        <v>3035</v>
      </c>
      <c r="T28" s="178"/>
      <c r="U28" s="179">
        <f t="shared" si="5"/>
        <v>0</v>
      </c>
      <c r="V28" s="178"/>
      <c r="W28" s="182">
        <f t="shared" si="6"/>
        <v>0</v>
      </c>
      <c r="X28" s="180">
        <f t="shared" si="7"/>
        <v>0</v>
      </c>
      <c r="Y28" s="181">
        <f t="shared" si="8"/>
        <v>0</v>
      </c>
      <c r="Z28" s="300">
        <f t="shared" si="9"/>
        <v>3035</v>
      </c>
      <c r="AA28" s="178"/>
      <c r="AB28" s="179">
        <f t="shared" si="10"/>
        <v>0</v>
      </c>
      <c r="AC28" s="178"/>
      <c r="AD28" s="182">
        <f t="shared" si="11"/>
        <v>0</v>
      </c>
      <c r="AE28" s="180">
        <f t="shared" si="12"/>
        <v>0</v>
      </c>
      <c r="AF28" s="181">
        <f t="shared" si="14"/>
        <v>0</v>
      </c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</row>
    <row r="29" spans="2:46" ht="28.5" x14ac:dyDescent="0.75">
      <c r="B29" s="141"/>
      <c r="C29" s="142" t="s">
        <v>144</v>
      </c>
      <c r="D29" s="251"/>
      <c r="E29" s="330"/>
      <c r="F29" s="251"/>
      <c r="G29" s="253">
        <v>12000</v>
      </c>
      <c r="H29" s="252">
        <v>12516</v>
      </c>
      <c r="I29" s="253">
        <f>H29</f>
        <v>12516</v>
      </c>
      <c r="J29" s="253">
        <f>I29</f>
        <v>12516</v>
      </c>
      <c r="K29" s="254"/>
      <c r="L29" s="253">
        <f t="shared" si="1"/>
        <v>12516</v>
      </c>
      <c r="M29" s="178"/>
      <c r="N29" s="179">
        <f t="shared" si="13"/>
        <v>0</v>
      </c>
      <c r="O29" s="178"/>
      <c r="P29" s="179">
        <f t="shared" si="2"/>
        <v>0</v>
      </c>
      <c r="Q29" s="180">
        <f t="shared" si="3"/>
        <v>0</v>
      </c>
      <c r="R29" s="181">
        <f t="shared" si="4"/>
        <v>0</v>
      </c>
      <c r="S29" s="300">
        <f t="shared" si="66"/>
        <v>12516</v>
      </c>
      <c r="T29" s="178"/>
      <c r="U29" s="179">
        <f t="shared" si="5"/>
        <v>0</v>
      </c>
      <c r="V29" s="178"/>
      <c r="W29" s="182">
        <f t="shared" si="6"/>
        <v>0</v>
      </c>
      <c r="X29" s="180">
        <f t="shared" si="7"/>
        <v>0</v>
      </c>
      <c r="Y29" s="181">
        <f t="shared" si="8"/>
        <v>0</v>
      </c>
      <c r="Z29" s="300">
        <f t="shared" si="9"/>
        <v>12516</v>
      </c>
      <c r="AA29" s="178"/>
      <c r="AB29" s="179">
        <f t="shared" si="10"/>
        <v>0</v>
      </c>
      <c r="AC29" s="178"/>
      <c r="AD29" s="182">
        <f t="shared" si="11"/>
        <v>0</v>
      </c>
      <c r="AE29" s="180">
        <f t="shared" si="12"/>
        <v>0</v>
      </c>
      <c r="AF29" s="181">
        <f t="shared" si="14"/>
        <v>0</v>
      </c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</row>
    <row r="30" spans="2:46" ht="30" customHeight="1" x14ac:dyDescent="0.75">
      <c r="B30" s="141"/>
      <c r="C30" s="143" t="s">
        <v>142</v>
      </c>
      <c r="D30" s="255"/>
      <c r="E30" s="335"/>
      <c r="F30" s="255"/>
      <c r="G30" s="257">
        <v>1725</v>
      </c>
      <c r="H30" s="257">
        <f>G30</f>
        <v>1725</v>
      </c>
      <c r="I30" s="257">
        <f>H30</f>
        <v>1725</v>
      </c>
      <c r="J30" s="257">
        <f>I30</f>
        <v>1725</v>
      </c>
      <c r="K30" s="258"/>
      <c r="L30" s="257">
        <f t="shared" si="1"/>
        <v>1725</v>
      </c>
      <c r="M30" s="183"/>
      <c r="N30" s="184">
        <f t="shared" si="13"/>
        <v>0</v>
      </c>
      <c r="O30" s="183"/>
      <c r="P30" s="184">
        <f t="shared" si="2"/>
        <v>0</v>
      </c>
      <c r="Q30" s="189">
        <f t="shared" si="3"/>
        <v>0</v>
      </c>
      <c r="R30" s="190">
        <f t="shared" si="4"/>
        <v>0</v>
      </c>
      <c r="S30" s="302">
        <f t="shared" si="66"/>
        <v>1725</v>
      </c>
      <c r="T30" s="183"/>
      <c r="U30" s="184">
        <f t="shared" si="5"/>
        <v>0</v>
      </c>
      <c r="V30" s="183"/>
      <c r="W30" s="185">
        <f t="shared" si="6"/>
        <v>0</v>
      </c>
      <c r="X30" s="191">
        <f t="shared" si="7"/>
        <v>0</v>
      </c>
      <c r="Y30" s="192">
        <f t="shared" si="8"/>
        <v>0</v>
      </c>
      <c r="Z30" s="302">
        <f t="shared" si="9"/>
        <v>1725</v>
      </c>
      <c r="AA30" s="183"/>
      <c r="AB30" s="184">
        <f t="shared" si="10"/>
        <v>0</v>
      </c>
      <c r="AC30" s="183"/>
      <c r="AD30" s="185">
        <f t="shared" si="11"/>
        <v>0</v>
      </c>
      <c r="AE30" s="191">
        <f t="shared" si="12"/>
        <v>0</v>
      </c>
      <c r="AF30" s="192">
        <f t="shared" si="14"/>
        <v>0</v>
      </c>
    </row>
    <row r="31" spans="2:46" ht="43.5" customHeight="1" x14ac:dyDescent="0.75">
      <c r="B31" s="147" t="s">
        <v>112</v>
      </c>
      <c r="C31" s="140" t="s">
        <v>19</v>
      </c>
      <c r="D31" s="247"/>
      <c r="E31" s="328" t="s">
        <v>178</v>
      </c>
      <c r="F31" s="247"/>
      <c r="G31" s="248">
        <v>1884</v>
      </c>
      <c r="H31" s="249">
        <f>G31</f>
        <v>1884</v>
      </c>
      <c r="I31" s="248">
        <v>2085</v>
      </c>
      <c r="J31" s="248">
        <v>2079</v>
      </c>
      <c r="K31" s="250"/>
      <c r="L31" s="248">
        <v>2134</v>
      </c>
      <c r="M31" s="173">
        <v>11424</v>
      </c>
      <c r="N31" s="174">
        <f t="shared" si="13"/>
        <v>24.378816</v>
      </c>
      <c r="O31" s="173">
        <v>11424</v>
      </c>
      <c r="P31" s="174">
        <f t="shared" si="2"/>
        <v>24.378816</v>
      </c>
      <c r="Q31" s="176">
        <f t="shared" si="3"/>
        <v>22848</v>
      </c>
      <c r="R31" s="177">
        <f t="shared" si="4"/>
        <v>48.757632000000001</v>
      </c>
      <c r="S31" s="249">
        <f>L31</f>
        <v>2134</v>
      </c>
      <c r="T31" s="173"/>
      <c r="U31" s="174">
        <f t="shared" si="5"/>
        <v>0</v>
      </c>
      <c r="V31" s="173"/>
      <c r="W31" s="175">
        <f t="shared" si="6"/>
        <v>0</v>
      </c>
      <c r="X31" s="176">
        <f t="shared" si="7"/>
        <v>0</v>
      </c>
      <c r="Y31" s="177">
        <f t="shared" si="8"/>
        <v>0</v>
      </c>
      <c r="Z31" s="304">
        <f>S31</f>
        <v>2134</v>
      </c>
      <c r="AA31" s="173"/>
      <c r="AB31" s="174">
        <f t="shared" si="10"/>
        <v>0</v>
      </c>
      <c r="AC31" s="173"/>
      <c r="AD31" s="175">
        <f t="shared" si="11"/>
        <v>0</v>
      </c>
      <c r="AE31" s="176">
        <f t="shared" si="12"/>
        <v>0</v>
      </c>
      <c r="AF31" s="177">
        <f t="shared" si="14"/>
        <v>0</v>
      </c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</row>
    <row r="32" spans="2:46" ht="60" customHeight="1" x14ac:dyDescent="0.75">
      <c r="B32" s="146"/>
      <c r="C32" s="142" t="s">
        <v>145</v>
      </c>
      <c r="D32" s="251"/>
      <c r="E32" s="330"/>
      <c r="F32" s="251"/>
      <c r="G32" s="253">
        <v>398</v>
      </c>
      <c r="H32" s="253">
        <f>G32</f>
        <v>398</v>
      </c>
      <c r="I32" s="253">
        <v>398</v>
      </c>
      <c r="J32" s="253">
        <f>I32</f>
        <v>398</v>
      </c>
      <c r="K32" s="254"/>
      <c r="L32" s="253">
        <v>398</v>
      </c>
      <c r="M32" s="178"/>
      <c r="N32" s="179">
        <f t="shared" si="13"/>
        <v>0</v>
      </c>
      <c r="O32" s="178"/>
      <c r="P32" s="179">
        <f t="shared" si="2"/>
        <v>0</v>
      </c>
      <c r="Q32" s="180">
        <f t="shared" si="3"/>
        <v>0</v>
      </c>
      <c r="R32" s="181">
        <f t="shared" si="4"/>
        <v>0</v>
      </c>
      <c r="S32" s="341" t="s">
        <v>203</v>
      </c>
      <c r="T32" s="178" t="s">
        <v>133</v>
      </c>
      <c r="U32" s="179"/>
      <c r="V32" s="178" t="s">
        <v>133</v>
      </c>
      <c r="W32" s="182"/>
      <c r="X32" s="180"/>
      <c r="Y32" s="181">
        <f t="shared" si="8"/>
        <v>0</v>
      </c>
      <c r="Z32" s="300" t="str">
        <f t="shared" si="9"/>
        <v>vervallen</v>
      </c>
      <c r="AA32" s="178" t="s">
        <v>133</v>
      </c>
      <c r="AB32" s="179"/>
      <c r="AC32" s="178" t="s">
        <v>133</v>
      </c>
      <c r="AD32" s="182"/>
      <c r="AE32" s="180"/>
      <c r="AF32" s="181">
        <f t="shared" si="14"/>
        <v>0</v>
      </c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</row>
    <row r="33" spans="2:46" ht="60" customHeight="1" thickBot="1" x14ac:dyDescent="0.9">
      <c r="B33" s="148"/>
      <c r="C33" s="149" t="s">
        <v>146</v>
      </c>
      <c r="D33" s="268"/>
      <c r="E33" s="336"/>
      <c r="F33" s="268"/>
      <c r="G33" s="270">
        <v>1039</v>
      </c>
      <c r="H33" s="269">
        <f>G33</f>
        <v>1039</v>
      </c>
      <c r="I33" s="269">
        <f>H33</f>
        <v>1039</v>
      </c>
      <c r="J33" s="269">
        <f>I33</f>
        <v>1039</v>
      </c>
      <c r="K33" s="271"/>
      <c r="L33" s="272">
        <f>J33</f>
        <v>1039</v>
      </c>
      <c r="M33" s="205"/>
      <c r="N33" s="206">
        <f t="shared" si="13"/>
        <v>0</v>
      </c>
      <c r="O33" s="205"/>
      <c r="P33" s="206">
        <f t="shared" si="2"/>
        <v>0</v>
      </c>
      <c r="Q33" s="207">
        <f t="shared" si="3"/>
        <v>0</v>
      </c>
      <c r="R33" s="208">
        <f t="shared" si="4"/>
        <v>0</v>
      </c>
      <c r="S33" s="303">
        <f t="shared" ref="S33" si="67">L33</f>
        <v>1039</v>
      </c>
      <c r="T33" s="205"/>
      <c r="U33" s="206">
        <f t="shared" si="5"/>
        <v>0</v>
      </c>
      <c r="V33" s="205"/>
      <c r="W33" s="209">
        <f t="shared" si="6"/>
        <v>0</v>
      </c>
      <c r="X33" s="210">
        <f t="shared" si="7"/>
        <v>0</v>
      </c>
      <c r="Y33" s="211">
        <f t="shared" si="8"/>
        <v>0</v>
      </c>
      <c r="Z33" s="303">
        <f t="shared" si="9"/>
        <v>1039</v>
      </c>
      <c r="AA33" s="205"/>
      <c r="AB33" s="206">
        <f t="shared" si="10"/>
        <v>0</v>
      </c>
      <c r="AC33" s="205"/>
      <c r="AD33" s="209">
        <f t="shared" si="11"/>
        <v>0</v>
      </c>
      <c r="AE33" s="210">
        <f t="shared" si="12"/>
        <v>0</v>
      </c>
      <c r="AF33" s="211">
        <f t="shared" si="14"/>
        <v>0</v>
      </c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</row>
    <row r="34" spans="2:46" ht="15" thickTop="1" x14ac:dyDescent="0.75">
      <c r="D34" s="243"/>
      <c r="E34" s="244"/>
      <c r="F34" s="243"/>
      <c r="G34" s="244"/>
      <c r="H34" s="244"/>
      <c r="I34" s="244"/>
      <c r="J34" s="244"/>
      <c r="K34" s="243"/>
      <c r="L34" s="244"/>
      <c r="M34" s="169"/>
      <c r="N34" s="169"/>
      <c r="O34" s="169"/>
      <c r="P34" s="169"/>
      <c r="Q34" s="168"/>
      <c r="R34" s="168"/>
      <c r="S34" s="243"/>
      <c r="T34" s="169"/>
      <c r="U34" s="169"/>
      <c r="V34" s="169"/>
      <c r="W34" s="169"/>
      <c r="X34" s="168"/>
      <c r="Y34" s="168"/>
      <c r="Z34" s="243"/>
      <c r="AA34" s="169"/>
      <c r="AB34" s="169"/>
      <c r="AC34" s="169"/>
      <c r="AD34" s="169"/>
      <c r="AE34" s="168"/>
      <c r="AF34" s="168"/>
    </row>
    <row r="35" spans="2:46" s="132" customFormat="1" ht="14.5" x14ac:dyDescent="0.75">
      <c r="B35" s="150" t="s">
        <v>0</v>
      </c>
      <c r="C35" s="151"/>
      <c r="D35" s="273"/>
      <c r="E35" s="274"/>
      <c r="F35" s="273"/>
      <c r="G35" s="274"/>
      <c r="H35" s="274"/>
      <c r="I35" s="274"/>
      <c r="J35" s="274"/>
      <c r="K35" s="274"/>
      <c r="L35" s="274"/>
      <c r="M35" s="212"/>
      <c r="N35" s="213">
        <f>SUM(N36:N48)</f>
        <v>27.970088000000001</v>
      </c>
      <c r="O35" s="212"/>
      <c r="P35" s="213">
        <f>SUM(P36:P48)</f>
        <v>27.970088000000001</v>
      </c>
      <c r="Q35" s="214"/>
      <c r="R35" s="215">
        <f>SUM(R36:R48)</f>
        <v>55.940176000000001</v>
      </c>
      <c r="S35" s="273"/>
      <c r="T35" s="212"/>
      <c r="U35" s="213">
        <f>SUM(U36:U48)</f>
        <v>0</v>
      </c>
      <c r="V35" s="212"/>
      <c r="W35" s="213">
        <f>SUM(W36:W48)</f>
        <v>0</v>
      </c>
      <c r="X35" s="214"/>
      <c r="Y35" s="215">
        <f>SUM(Y36:Y48)</f>
        <v>0</v>
      </c>
      <c r="Z35" s="273"/>
      <c r="AA35" s="212"/>
      <c r="AB35" s="213">
        <f>SUM(AB36:AB48)</f>
        <v>0</v>
      </c>
      <c r="AC35" s="212"/>
      <c r="AD35" s="213">
        <f>SUM(AD36:AD48)</f>
        <v>0</v>
      </c>
      <c r="AE35" s="214"/>
      <c r="AF35" s="215">
        <f>SUM(AF36:AF48)</f>
        <v>0</v>
      </c>
      <c r="AG35" s="131"/>
      <c r="AH35" s="131"/>
      <c r="AI35" s="131"/>
      <c r="AJ35" s="131"/>
      <c r="AK35" s="131"/>
      <c r="AL35" s="131"/>
      <c r="AM35" s="131"/>
      <c r="AN35" s="131"/>
      <c r="AO35" s="131"/>
      <c r="AP35" s="131"/>
      <c r="AQ35" s="131"/>
      <c r="AR35" s="131"/>
      <c r="AS35" s="131"/>
      <c r="AT35" s="131"/>
    </row>
    <row r="36" spans="2:46" ht="71.25" x14ac:dyDescent="0.75">
      <c r="B36" s="139" t="s">
        <v>113</v>
      </c>
      <c r="C36" s="145" t="s">
        <v>132</v>
      </c>
      <c r="D36" s="247"/>
      <c r="E36" s="328" t="s">
        <v>178</v>
      </c>
      <c r="F36" s="247"/>
      <c r="G36" s="248">
        <v>556</v>
      </c>
      <c r="H36" s="249">
        <f>G36</f>
        <v>556</v>
      </c>
      <c r="I36" s="248">
        <v>523</v>
      </c>
      <c r="J36" s="248">
        <v>456</v>
      </c>
      <c r="K36" s="250"/>
      <c r="L36" s="248">
        <v>536</v>
      </c>
      <c r="M36" s="173">
        <v>52183</v>
      </c>
      <c r="N36" s="174">
        <f t="shared" ref="N36:N42" si="68">SUM(M36*L36)/1000000</f>
        <v>27.970088000000001</v>
      </c>
      <c r="O36" s="173">
        <v>52183</v>
      </c>
      <c r="P36" s="175">
        <f t="shared" ref="P36:P42" si="69">SUM(O36*L36)/1000000</f>
        <v>27.970088000000001</v>
      </c>
      <c r="Q36" s="176">
        <f t="shared" ref="Q36:Q42" si="70">M36+O36</f>
        <v>104366</v>
      </c>
      <c r="R36" s="177">
        <f t="shared" ref="R36:R42" si="71">N36+P36</f>
        <v>55.940176000000001</v>
      </c>
      <c r="S36" s="248">
        <v>497</v>
      </c>
      <c r="T36" s="216"/>
      <c r="U36" s="174">
        <f t="shared" ref="U36:U42" si="72">SUM(S36*T36)/1000000</f>
        <v>0</v>
      </c>
      <c r="V36" s="173"/>
      <c r="W36" s="175">
        <f t="shared" ref="W36:W42" si="73">SUM(S36*V36)/1000000</f>
        <v>0</v>
      </c>
      <c r="X36" s="176">
        <f t="shared" ref="X36:X42" si="74">T36+V36</f>
        <v>0</v>
      </c>
      <c r="Y36" s="177">
        <f t="shared" ref="Y36:Y42" si="75">U36+W36</f>
        <v>0</v>
      </c>
      <c r="Z36" s="253">
        <f>S36</f>
        <v>497</v>
      </c>
      <c r="AA36" s="216"/>
      <c r="AB36" s="174">
        <f t="shared" ref="AB36:AB42" si="76">SUM(Z36*AA36)/1000000</f>
        <v>0</v>
      </c>
      <c r="AC36" s="173"/>
      <c r="AD36" s="175">
        <f t="shared" ref="AD36:AD42" si="77">SUM(Z36*AC36)/1000000</f>
        <v>0</v>
      </c>
      <c r="AE36" s="176">
        <f t="shared" ref="AE36:AE42" si="78">AA36+AC36</f>
        <v>0</v>
      </c>
      <c r="AF36" s="177">
        <f t="shared" ref="AF36:AF42" si="79">AB36+AD36</f>
        <v>0</v>
      </c>
    </row>
    <row r="37" spans="2:46" ht="85.5" x14ac:dyDescent="0.75">
      <c r="B37" s="146" t="s">
        <v>175</v>
      </c>
      <c r="C37" s="142" t="s">
        <v>91</v>
      </c>
      <c r="D37" s="251"/>
      <c r="E37" s="330"/>
      <c r="F37" s="251"/>
      <c r="G37" s="253">
        <v>0</v>
      </c>
      <c r="H37" s="253">
        <f>G37</f>
        <v>0</v>
      </c>
      <c r="I37" s="253">
        <f>H37</f>
        <v>0</v>
      </c>
      <c r="J37" s="253">
        <f>I37</f>
        <v>0</v>
      </c>
      <c r="K37" s="254"/>
      <c r="L37" s="253">
        <f>J37</f>
        <v>0</v>
      </c>
      <c r="M37" s="178"/>
      <c r="N37" s="179">
        <f t="shared" si="68"/>
        <v>0</v>
      </c>
      <c r="O37" s="178"/>
      <c r="P37" s="179">
        <f t="shared" si="69"/>
        <v>0</v>
      </c>
      <c r="Q37" s="180">
        <f t="shared" si="70"/>
        <v>0</v>
      </c>
      <c r="R37" s="181">
        <f t="shared" si="71"/>
        <v>0</v>
      </c>
      <c r="S37" s="304">
        <f t="shared" ref="S37:S41" si="80">L37</f>
        <v>0</v>
      </c>
      <c r="T37" s="178"/>
      <c r="U37" s="179">
        <f t="shared" si="72"/>
        <v>0</v>
      </c>
      <c r="V37" s="178"/>
      <c r="W37" s="182">
        <f t="shared" si="73"/>
        <v>0</v>
      </c>
      <c r="X37" s="180">
        <f t="shared" si="74"/>
        <v>0</v>
      </c>
      <c r="Y37" s="181">
        <f t="shared" si="75"/>
        <v>0</v>
      </c>
      <c r="Z37" s="304">
        <f t="shared" ref="Z37:Z41" si="81">S37</f>
        <v>0</v>
      </c>
      <c r="AA37" s="178"/>
      <c r="AB37" s="179">
        <f t="shared" si="76"/>
        <v>0</v>
      </c>
      <c r="AC37" s="178"/>
      <c r="AD37" s="182">
        <f t="shared" si="77"/>
        <v>0</v>
      </c>
      <c r="AE37" s="180">
        <f t="shared" si="78"/>
        <v>0</v>
      </c>
      <c r="AF37" s="181">
        <f t="shared" si="79"/>
        <v>0</v>
      </c>
    </row>
    <row r="38" spans="2:46" ht="71.25" x14ac:dyDescent="0.75">
      <c r="B38" s="141"/>
      <c r="C38" s="162" t="s">
        <v>129</v>
      </c>
      <c r="D38" s="251"/>
      <c r="E38" s="356"/>
      <c r="F38" s="355"/>
      <c r="G38" s="357">
        <v>75</v>
      </c>
      <c r="H38" s="357">
        <f t="shared" ref="H38" si="82">G38</f>
        <v>75</v>
      </c>
      <c r="I38" s="368">
        <v>44</v>
      </c>
      <c r="J38" s="357">
        <f t="shared" ref="J38" si="83">I38</f>
        <v>44</v>
      </c>
      <c r="K38" s="358"/>
      <c r="L38" s="368">
        <v>71</v>
      </c>
      <c r="M38" s="359"/>
      <c r="N38" s="179">
        <f t="shared" si="68"/>
        <v>0</v>
      </c>
      <c r="O38" s="178"/>
      <c r="P38" s="179">
        <f t="shared" si="69"/>
        <v>0</v>
      </c>
      <c r="Q38" s="180">
        <f t="shared" si="70"/>
        <v>0</v>
      </c>
      <c r="R38" s="181">
        <f t="shared" si="71"/>
        <v>0</v>
      </c>
      <c r="S38" s="304">
        <f>L38</f>
        <v>71</v>
      </c>
      <c r="T38" s="178"/>
      <c r="U38" s="179">
        <f t="shared" si="72"/>
        <v>0</v>
      </c>
      <c r="V38" s="178"/>
      <c r="W38" s="182">
        <f t="shared" si="73"/>
        <v>0</v>
      </c>
      <c r="X38" s="180">
        <f t="shared" si="74"/>
        <v>0</v>
      </c>
      <c r="Y38" s="181">
        <f t="shared" si="75"/>
        <v>0</v>
      </c>
      <c r="Z38" s="304">
        <f>S38</f>
        <v>71</v>
      </c>
      <c r="AA38" s="178"/>
      <c r="AB38" s="179">
        <f t="shared" si="76"/>
        <v>0</v>
      </c>
      <c r="AC38" s="178"/>
      <c r="AD38" s="182">
        <f t="shared" si="77"/>
        <v>0</v>
      </c>
      <c r="AE38" s="180">
        <f t="shared" si="78"/>
        <v>0</v>
      </c>
      <c r="AF38" s="181">
        <f t="shared" si="79"/>
        <v>0</v>
      </c>
    </row>
    <row r="39" spans="2:46" x14ac:dyDescent="0.75">
      <c r="B39" s="117"/>
      <c r="C39" s="117" t="s">
        <v>212</v>
      </c>
      <c r="D39" s="255"/>
      <c r="E39" s="327"/>
      <c r="F39" s="259"/>
      <c r="G39" s="260"/>
      <c r="H39" s="260"/>
      <c r="I39" s="260"/>
      <c r="J39" s="260"/>
      <c r="K39" s="261"/>
      <c r="L39" s="260"/>
      <c r="M39" s="186"/>
      <c r="N39" s="184">
        <f>SUM(M39*L39)/1000000</f>
        <v>0</v>
      </c>
      <c r="O39" s="183"/>
      <c r="P39" s="184">
        <f>SUM(O39*L39)/1000000</f>
        <v>0</v>
      </c>
      <c r="Q39" s="189">
        <f t="shared" si="70"/>
        <v>0</v>
      </c>
      <c r="R39" s="190">
        <f t="shared" si="71"/>
        <v>0</v>
      </c>
      <c r="S39" s="265">
        <f>L39</f>
        <v>0</v>
      </c>
      <c r="T39" s="183"/>
      <c r="U39" s="202">
        <f>SUM(S39*T39)/1000000</f>
        <v>0</v>
      </c>
      <c r="V39" s="183"/>
      <c r="W39" s="203">
        <f>SUM(S39*V39)/1000000</f>
        <v>0</v>
      </c>
      <c r="X39" s="191">
        <f>T39+V39</f>
        <v>0</v>
      </c>
      <c r="Y39" s="192">
        <f>U39+W39</f>
        <v>0</v>
      </c>
      <c r="Z39" s="265">
        <f>S39</f>
        <v>0</v>
      </c>
      <c r="AA39" s="183"/>
      <c r="AB39" s="202">
        <f>SUM(Z39*AA39)/1000000</f>
        <v>0</v>
      </c>
      <c r="AC39" s="201"/>
      <c r="AD39" s="203">
        <f>SUM(Z39*AC39)/1000000</f>
        <v>0</v>
      </c>
      <c r="AE39" s="191">
        <f>AA39+AC39</f>
        <v>0</v>
      </c>
      <c r="AF39" s="192">
        <f>AB39+AD39</f>
        <v>0</v>
      </c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</row>
    <row r="40" spans="2:46" ht="57" x14ac:dyDescent="0.75">
      <c r="B40" s="139" t="s">
        <v>114</v>
      </c>
      <c r="C40" s="145" t="s">
        <v>132</v>
      </c>
      <c r="D40" s="275"/>
      <c r="E40" s="333"/>
      <c r="F40" s="275"/>
      <c r="G40" s="277">
        <v>556</v>
      </c>
      <c r="H40" s="276">
        <f t="shared" ref="H40:H42" si="84">G40</f>
        <v>556</v>
      </c>
      <c r="I40" s="277">
        <v>523</v>
      </c>
      <c r="J40" s="277">
        <v>456</v>
      </c>
      <c r="K40" s="267"/>
      <c r="L40" s="278">
        <v>536</v>
      </c>
      <c r="M40" s="217"/>
      <c r="N40" s="218">
        <f t="shared" si="68"/>
        <v>0</v>
      </c>
      <c r="O40" s="217"/>
      <c r="P40" s="219">
        <f t="shared" si="69"/>
        <v>0</v>
      </c>
      <c r="Q40" s="220">
        <f t="shared" si="70"/>
        <v>0</v>
      </c>
      <c r="R40" s="221">
        <f t="shared" si="71"/>
        <v>0</v>
      </c>
      <c r="S40" s="248">
        <v>497</v>
      </c>
      <c r="T40" s="217"/>
      <c r="U40" s="218">
        <f t="shared" si="72"/>
        <v>0</v>
      </c>
      <c r="V40" s="217"/>
      <c r="W40" s="219">
        <f t="shared" si="73"/>
        <v>0</v>
      </c>
      <c r="X40" s="222">
        <f t="shared" si="74"/>
        <v>0</v>
      </c>
      <c r="Y40" s="194">
        <f t="shared" si="75"/>
        <v>0</v>
      </c>
      <c r="Z40" s="338">
        <f>S40</f>
        <v>497</v>
      </c>
      <c r="AA40" s="217"/>
      <c r="AB40" s="218">
        <f t="shared" si="76"/>
        <v>0</v>
      </c>
      <c r="AC40" s="217"/>
      <c r="AD40" s="219">
        <f t="shared" si="77"/>
        <v>0</v>
      </c>
      <c r="AE40" s="222">
        <f t="shared" si="78"/>
        <v>0</v>
      </c>
      <c r="AF40" s="194">
        <f t="shared" si="79"/>
        <v>0</v>
      </c>
      <c r="AG40" s="116"/>
      <c r="AH40" s="116"/>
      <c r="AI40" s="116"/>
      <c r="AJ40" s="116"/>
      <c r="AK40" s="116"/>
      <c r="AL40" s="116"/>
      <c r="AM40" s="116"/>
      <c r="AN40" s="116"/>
      <c r="AO40" s="116"/>
      <c r="AP40" s="116"/>
      <c r="AQ40" s="116"/>
      <c r="AR40" s="116"/>
      <c r="AS40" s="116"/>
      <c r="AT40" s="116"/>
    </row>
    <row r="41" spans="2:46" ht="85.5" x14ac:dyDescent="0.75">
      <c r="B41" s="146" t="s">
        <v>175</v>
      </c>
      <c r="C41" s="142" t="s">
        <v>91</v>
      </c>
      <c r="D41" s="251"/>
      <c r="E41" s="330"/>
      <c r="F41" s="251"/>
      <c r="G41" s="253">
        <v>0</v>
      </c>
      <c r="H41" s="253">
        <f t="shared" si="84"/>
        <v>0</v>
      </c>
      <c r="I41" s="253">
        <f>H41</f>
        <v>0</v>
      </c>
      <c r="J41" s="253">
        <f t="shared" ref="J41:J42" si="85">I41</f>
        <v>0</v>
      </c>
      <c r="K41" s="254"/>
      <c r="L41" s="253">
        <f>J41</f>
        <v>0</v>
      </c>
      <c r="M41" s="178"/>
      <c r="N41" s="179">
        <f t="shared" si="68"/>
        <v>0</v>
      </c>
      <c r="O41" s="178"/>
      <c r="P41" s="179">
        <f t="shared" si="69"/>
        <v>0</v>
      </c>
      <c r="Q41" s="180">
        <f t="shared" ref="Q41" si="86">M41+O41</f>
        <v>0</v>
      </c>
      <c r="R41" s="181">
        <f t="shared" ref="R41" si="87">N41+P41</f>
        <v>0</v>
      </c>
      <c r="S41" s="304">
        <f t="shared" si="80"/>
        <v>0</v>
      </c>
      <c r="T41" s="178"/>
      <c r="U41" s="179">
        <f t="shared" si="72"/>
        <v>0</v>
      </c>
      <c r="V41" s="178"/>
      <c r="W41" s="182">
        <f t="shared" si="73"/>
        <v>0</v>
      </c>
      <c r="X41" s="180">
        <f t="shared" ref="X41" si="88">T41+V41</f>
        <v>0</v>
      </c>
      <c r="Y41" s="181">
        <f t="shared" ref="Y41" si="89">U41+W41</f>
        <v>0</v>
      </c>
      <c r="Z41" s="304">
        <f t="shared" si="81"/>
        <v>0</v>
      </c>
      <c r="AA41" s="178"/>
      <c r="AB41" s="179">
        <f t="shared" si="76"/>
        <v>0</v>
      </c>
      <c r="AC41" s="178"/>
      <c r="AD41" s="182">
        <f t="shared" si="77"/>
        <v>0</v>
      </c>
      <c r="AE41" s="180">
        <f t="shared" ref="AE41" si="90">AA41+AC41</f>
        <v>0</v>
      </c>
      <c r="AF41" s="181">
        <f t="shared" ref="AF41" si="91">AB41+AD41</f>
        <v>0</v>
      </c>
    </row>
    <row r="42" spans="2:46" ht="71.25" x14ac:dyDescent="0.75">
      <c r="B42" s="117"/>
      <c r="C42" s="152" t="s">
        <v>129</v>
      </c>
      <c r="D42" s="264"/>
      <c r="E42" s="331"/>
      <c r="F42" s="264"/>
      <c r="G42" s="265">
        <v>75</v>
      </c>
      <c r="H42" s="265">
        <f t="shared" si="84"/>
        <v>75</v>
      </c>
      <c r="I42" s="279">
        <v>44</v>
      </c>
      <c r="J42" s="265">
        <f t="shared" si="85"/>
        <v>44</v>
      </c>
      <c r="K42" s="266"/>
      <c r="L42" s="279">
        <v>71</v>
      </c>
      <c r="M42" s="201"/>
      <c r="N42" s="202">
        <f t="shared" si="68"/>
        <v>0</v>
      </c>
      <c r="O42" s="201"/>
      <c r="P42" s="203">
        <f t="shared" si="69"/>
        <v>0</v>
      </c>
      <c r="Q42" s="204">
        <f t="shared" si="70"/>
        <v>0</v>
      </c>
      <c r="R42" s="192">
        <f t="shared" si="71"/>
        <v>0</v>
      </c>
      <c r="S42" s="305">
        <f>L42</f>
        <v>71</v>
      </c>
      <c r="T42" s="201"/>
      <c r="U42" s="202">
        <f t="shared" si="72"/>
        <v>0</v>
      </c>
      <c r="V42" s="201"/>
      <c r="W42" s="203">
        <f t="shared" si="73"/>
        <v>0</v>
      </c>
      <c r="X42" s="191">
        <f t="shared" si="74"/>
        <v>0</v>
      </c>
      <c r="Y42" s="192">
        <f t="shared" si="75"/>
        <v>0</v>
      </c>
      <c r="Z42" s="305">
        <f>S42</f>
        <v>71</v>
      </c>
      <c r="AA42" s="201"/>
      <c r="AB42" s="202">
        <f t="shared" si="76"/>
        <v>0</v>
      </c>
      <c r="AC42" s="201"/>
      <c r="AD42" s="203">
        <f t="shared" si="77"/>
        <v>0</v>
      </c>
      <c r="AE42" s="191">
        <f t="shared" si="78"/>
        <v>0</v>
      </c>
      <c r="AF42" s="192">
        <f t="shared" si="79"/>
        <v>0</v>
      </c>
      <c r="AG42" s="116"/>
      <c r="AH42" s="116"/>
      <c r="AI42" s="116"/>
      <c r="AJ42" s="116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</row>
    <row r="43" spans="2:46" ht="43.5" customHeight="1" x14ac:dyDescent="0.75">
      <c r="B43" s="145" t="s">
        <v>115</v>
      </c>
      <c r="C43" s="142" t="s">
        <v>139</v>
      </c>
      <c r="D43" s="251"/>
      <c r="E43" s="330"/>
      <c r="F43" s="251"/>
      <c r="G43" s="253" t="s">
        <v>130</v>
      </c>
      <c r="H43" s="253" t="str">
        <f t="shared" ref="H43:H44" si="92">G43</f>
        <v>n.v.t.</v>
      </c>
      <c r="I43" s="280">
        <v>26840</v>
      </c>
      <c r="J43" s="280">
        <v>25370</v>
      </c>
      <c r="K43" s="254"/>
      <c r="L43" s="280">
        <v>25050</v>
      </c>
      <c r="M43" s="178"/>
      <c r="N43" s="179">
        <v>0</v>
      </c>
      <c r="O43" s="178"/>
      <c r="P43" s="179">
        <v>0</v>
      </c>
      <c r="Q43" s="180">
        <f>M43+O43</f>
        <v>0</v>
      </c>
      <c r="R43" s="181">
        <f t="shared" ref="R43:R48" si="93">N43+P43</f>
        <v>0</v>
      </c>
      <c r="S43" s="280">
        <v>38430</v>
      </c>
      <c r="T43" s="178"/>
      <c r="U43" s="179">
        <v>0</v>
      </c>
      <c r="V43" s="178"/>
      <c r="W43" s="182">
        <v>0</v>
      </c>
      <c r="X43" s="180">
        <f>T43+V43</f>
        <v>0</v>
      </c>
      <c r="Y43" s="181">
        <f t="shared" ref="Y43:Y48" si="94">U43+W43</f>
        <v>0</v>
      </c>
      <c r="Z43" s="304">
        <f>S43</f>
        <v>38430</v>
      </c>
      <c r="AA43" s="178"/>
      <c r="AB43" s="179">
        <v>0</v>
      </c>
      <c r="AC43" s="178"/>
      <c r="AD43" s="182">
        <v>0</v>
      </c>
      <c r="AE43" s="180">
        <f t="shared" ref="AE43:AE48" si="95">AA43+AC43</f>
        <v>0</v>
      </c>
      <c r="AF43" s="181">
        <f t="shared" ref="AF43:AF48" si="96">AB43+AD43</f>
        <v>0</v>
      </c>
    </row>
    <row r="44" spans="2:46" ht="43.5" customHeight="1" x14ac:dyDescent="0.75">
      <c r="B44" s="153"/>
      <c r="C44" s="354" t="s">
        <v>74</v>
      </c>
      <c r="D44" s="355"/>
      <c r="E44" s="356"/>
      <c r="F44" s="355"/>
      <c r="G44" s="357">
        <v>8800</v>
      </c>
      <c r="H44" s="357">
        <f t="shared" si="92"/>
        <v>8800</v>
      </c>
      <c r="I44" s="357">
        <f>H44</f>
        <v>8800</v>
      </c>
      <c r="J44" s="357">
        <f t="shared" ref="J44" si="97">I44</f>
        <v>8800</v>
      </c>
      <c r="K44" s="358"/>
      <c r="L44" s="357">
        <f>J44</f>
        <v>8800</v>
      </c>
      <c r="M44" s="359"/>
      <c r="N44" s="360">
        <f>SUM(M44*L44)/1000000</f>
        <v>0</v>
      </c>
      <c r="O44" s="359"/>
      <c r="P44" s="360">
        <f t="shared" ref="P44:P48" si="98">SUM(O44*L44)/1000000</f>
        <v>0</v>
      </c>
      <c r="Q44" s="361">
        <f t="shared" ref="Q44:Q48" si="99">M44+O44</f>
        <v>0</v>
      </c>
      <c r="R44" s="362">
        <f t="shared" si="93"/>
        <v>0</v>
      </c>
      <c r="S44" s="363">
        <v>11300</v>
      </c>
      <c r="T44" s="359"/>
      <c r="U44" s="360">
        <f t="shared" ref="U44:U48" si="100">SUM(S44*T44)/1000000</f>
        <v>0</v>
      </c>
      <c r="V44" s="359"/>
      <c r="W44" s="364">
        <f t="shared" ref="W44:W48" si="101">SUM(S44*V44)/1000000</f>
        <v>0</v>
      </c>
      <c r="X44" s="365">
        <f t="shared" ref="X44:X48" si="102">T44+V44</f>
        <v>0</v>
      </c>
      <c r="Y44" s="362">
        <f t="shared" si="94"/>
        <v>0</v>
      </c>
      <c r="Z44" s="366">
        <f t="shared" ref="Z44" si="103">S44</f>
        <v>11300</v>
      </c>
      <c r="AA44" s="359"/>
      <c r="AB44" s="360">
        <f t="shared" ref="AB44:AB48" si="104">SUM(Z44*AA44)/1000000</f>
        <v>0</v>
      </c>
      <c r="AC44" s="359"/>
      <c r="AD44" s="364">
        <f t="shared" ref="AD44:AD48" si="105">SUM(Z44*AC44)/1000000</f>
        <v>0</v>
      </c>
      <c r="AE44" s="365">
        <f t="shared" si="95"/>
        <v>0</v>
      </c>
      <c r="AF44" s="362">
        <f t="shared" si="96"/>
        <v>0</v>
      </c>
    </row>
    <row r="45" spans="2:46" x14ac:dyDescent="0.75">
      <c r="B45" s="141"/>
      <c r="C45" s="345" t="s">
        <v>212</v>
      </c>
      <c r="D45" s="346"/>
      <c r="E45" s="347"/>
      <c r="F45" s="346"/>
      <c r="G45" s="348"/>
      <c r="H45" s="348"/>
      <c r="I45" s="348"/>
      <c r="J45" s="348"/>
      <c r="K45" s="349"/>
      <c r="L45" s="348"/>
      <c r="M45" s="350"/>
      <c r="N45" s="360">
        <f>SUM(M45*L45)/1000000</f>
        <v>0</v>
      </c>
      <c r="O45" s="350"/>
      <c r="P45" s="360">
        <f t="shared" si="98"/>
        <v>0</v>
      </c>
      <c r="Q45" s="361">
        <f t="shared" si="99"/>
        <v>0</v>
      </c>
      <c r="R45" s="362">
        <f t="shared" si="93"/>
        <v>0</v>
      </c>
      <c r="S45" s="348">
        <f>L45</f>
        <v>0</v>
      </c>
      <c r="T45" s="350"/>
      <c r="U45" s="360">
        <f t="shared" si="100"/>
        <v>0</v>
      </c>
      <c r="V45" s="350"/>
      <c r="W45" s="364">
        <f t="shared" si="101"/>
        <v>0</v>
      </c>
      <c r="X45" s="365">
        <f t="shared" si="102"/>
        <v>0</v>
      </c>
      <c r="Y45" s="362">
        <f t="shared" si="94"/>
        <v>0</v>
      </c>
      <c r="Z45" s="338">
        <f>S45</f>
        <v>0</v>
      </c>
      <c r="AA45" s="350"/>
      <c r="AB45" s="351">
        <f t="shared" si="104"/>
        <v>0</v>
      </c>
      <c r="AC45" s="350"/>
      <c r="AD45" s="353">
        <f t="shared" si="105"/>
        <v>0</v>
      </c>
      <c r="AE45" s="365">
        <f t="shared" si="95"/>
        <v>0</v>
      </c>
      <c r="AF45" s="352">
        <f>AB45+AD45</f>
        <v>0</v>
      </c>
    </row>
    <row r="46" spans="2:46" x14ac:dyDescent="0.75">
      <c r="B46" s="141"/>
      <c r="C46" s="142" t="s">
        <v>212</v>
      </c>
      <c r="D46" s="251"/>
      <c r="E46" s="330"/>
      <c r="F46" s="251"/>
      <c r="G46" s="253"/>
      <c r="H46" s="253"/>
      <c r="I46" s="304"/>
      <c r="J46" s="253"/>
      <c r="K46" s="254"/>
      <c r="L46" s="304"/>
      <c r="M46" s="178"/>
      <c r="N46" s="360">
        <f>SUM(M46*L46)/1000000</f>
        <v>0</v>
      </c>
      <c r="O46" s="178"/>
      <c r="P46" s="360">
        <f t="shared" si="98"/>
        <v>0</v>
      </c>
      <c r="Q46" s="361">
        <f t="shared" si="99"/>
        <v>0</v>
      </c>
      <c r="R46" s="362">
        <f t="shared" si="93"/>
        <v>0</v>
      </c>
      <c r="S46" s="304">
        <f>L46</f>
        <v>0</v>
      </c>
      <c r="T46" s="178"/>
      <c r="U46" s="360">
        <f t="shared" si="100"/>
        <v>0</v>
      </c>
      <c r="V46" s="178"/>
      <c r="W46" s="364">
        <f t="shared" si="101"/>
        <v>0</v>
      </c>
      <c r="X46" s="365">
        <f t="shared" si="102"/>
        <v>0</v>
      </c>
      <c r="Y46" s="362">
        <f t="shared" si="94"/>
        <v>0</v>
      </c>
      <c r="Z46" s="304">
        <f>S46</f>
        <v>0</v>
      </c>
      <c r="AA46" s="178"/>
      <c r="AB46" s="179">
        <f t="shared" si="104"/>
        <v>0</v>
      </c>
      <c r="AC46" s="178"/>
      <c r="AD46" s="182">
        <f t="shared" si="105"/>
        <v>0</v>
      </c>
      <c r="AE46" s="365">
        <f t="shared" si="95"/>
        <v>0</v>
      </c>
      <c r="AF46" s="181">
        <f t="shared" si="96"/>
        <v>0</v>
      </c>
    </row>
    <row r="47" spans="2:46" x14ac:dyDescent="0.75">
      <c r="B47" s="141"/>
      <c r="C47" s="142" t="s">
        <v>212</v>
      </c>
      <c r="D47" s="251"/>
      <c r="E47" s="330"/>
      <c r="F47" s="251"/>
      <c r="G47" s="253"/>
      <c r="H47" s="253"/>
      <c r="I47" s="304"/>
      <c r="J47" s="253"/>
      <c r="K47" s="254"/>
      <c r="L47" s="304"/>
      <c r="M47" s="178"/>
      <c r="N47" s="360">
        <f>SUM(M47*L47)/1000000</f>
        <v>0</v>
      </c>
      <c r="O47" s="178"/>
      <c r="P47" s="360">
        <f t="shared" si="98"/>
        <v>0</v>
      </c>
      <c r="Q47" s="361">
        <f t="shared" si="99"/>
        <v>0</v>
      </c>
      <c r="R47" s="362">
        <f t="shared" si="93"/>
        <v>0</v>
      </c>
      <c r="S47" s="304">
        <f>L47</f>
        <v>0</v>
      </c>
      <c r="T47" s="178"/>
      <c r="U47" s="360">
        <f t="shared" si="100"/>
        <v>0</v>
      </c>
      <c r="V47" s="178"/>
      <c r="W47" s="364">
        <f t="shared" si="101"/>
        <v>0</v>
      </c>
      <c r="X47" s="365">
        <f t="shared" si="102"/>
        <v>0</v>
      </c>
      <c r="Y47" s="362">
        <f t="shared" si="94"/>
        <v>0</v>
      </c>
      <c r="Z47" s="304">
        <f>S47</f>
        <v>0</v>
      </c>
      <c r="AA47" s="178"/>
      <c r="AB47" s="179">
        <f t="shared" si="104"/>
        <v>0</v>
      </c>
      <c r="AC47" s="178"/>
      <c r="AD47" s="182">
        <f t="shared" si="105"/>
        <v>0</v>
      </c>
      <c r="AE47" s="365">
        <f t="shared" si="95"/>
        <v>0</v>
      </c>
      <c r="AF47" s="181">
        <f t="shared" si="96"/>
        <v>0</v>
      </c>
    </row>
    <row r="48" spans="2:46" ht="15" thickBot="1" x14ac:dyDescent="0.9">
      <c r="B48" s="148"/>
      <c r="C48" s="149" t="s">
        <v>212</v>
      </c>
      <c r="D48" s="268"/>
      <c r="E48" s="336"/>
      <c r="F48" s="268"/>
      <c r="G48" s="269"/>
      <c r="H48" s="269"/>
      <c r="I48" s="269"/>
      <c r="J48" s="269"/>
      <c r="K48" s="271"/>
      <c r="L48" s="269"/>
      <c r="M48" s="205"/>
      <c r="N48" s="206">
        <f>SUM(M48*L48)/1000000</f>
        <v>0</v>
      </c>
      <c r="O48" s="205"/>
      <c r="P48" s="206">
        <f t="shared" si="98"/>
        <v>0</v>
      </c>
      <c r="Q48" s="367">
        <f t="shared" si="99"/>
        <v>0</v>
      </c>
      <c r="R48" s="211">
        <f t="shared" si="93"/>
        <v>0</v>
      </c>
      <c r="S48" s="306">
        <f>L48</f>
        <v>0</v>
      </c>
      <c r="T48" s="205"/>
      <c r="U48" s="206">
        <f t="shared" si="100"/>
        <v>0</v>
      </c>
      <c r="V48" s="205"/>
      <c r="W48" s="209">
        <f t="shared" si="101"/>
        <v>0</v>
      </c>
      <c r="X48" s="210">
        <f t="shared" si="102"/>
        <v>0</v>
      </c>
      <c r="Y48" s="211">
        <f t="shared" si="94"/>
        <v>0</v>
      </c>
      <c r="Z48" s="306">
        <f>S48</f>
        <v>0</v>
      </c>
      <c r="AA48" s="205"/>
      <c r="AB48" s="206">
        <f t="shared" si="104"/>
        <v>0</v>
      </c>
      <c r="AC48" s="205"/>
      <c r="AD48" s="209">
        <f t="shared" si="105"/>
        <v>0</v>
      </c>
      <c r="AE48" s="210">
        <f t="shared" si="95"/>
        <v>0</v>
      </c>
      <c r="AF48" s="211">
        <f t="shared" si="96"/>
        <v>0</v>
      </c>
    </row>
    <row r="49" spans="2:46" ht="15" thickTop="1" x14ac:dyDescent="0.75">
      <c r="D49" s="243"/>
      <c r="E49" s="244"/>
      <c r="F49" s="243"/>
      <c r="G49" s="244"/>
      <c r="H49" s="244"/>
      <c r="I49" s="244"/>
      <c r="J49" s="244"/>
      <c r="K49" s="243"/>
      <c r="L49" s="244"/>
      <c r="M49" s="169"/>
      <c r="N49" s="169"/>
      <c r="O49" s="169"/>
      <c r="P49" s="169"/>
      <c r="Q49" s="168"/>
      <c r="R49" s="168"/>
      <c r="S49" s="243"/>
      <c r="T49" s="169"/>
      <c r="U49" s="169"/>
      <c r="V49" s="169"/>
      <c r="W49" s="169"/>
      <c r="X49" s="168"/>
      <c r="Y49" s="168"/>
      <c r="Z49" s="243"/>
      <c r="AA49" s="169"/>
      <c r="AB49" s="169"/>
      <c r="AC49" s="169"/>
      <c r="AD49" s="169"/>
      <c r="AE49" s="168"/>
      <c r="AF49" s="168"/>
      <c r="AG49" s="116"/>
      <c r="AH49" s="116"/>
      <c r="AI49" s="116"/>
      <c r="AJ49" s="116"/>
      <c r="AK49" s="116"/>
      <c r="AL49" s="116"/>
      <c r="AM49" s="116"/>
      <c r="AN49" s="116"/>
      <c r="AO49" s="116"/>
      <c r="AP49" s="116"/>
      <c r="AQ49" s="116"/>
      <c r="AR49" s="116"/>
      <c r="AS49" s="116"/>
      <c r="AT49" s="116"/>
    </row>
    <row r="50" spans="2:46" s="132" customFormat="1" ht="29" x14ac:dyDescent="0.75">
      <c r="B50" s="151" t="s">
        <v>93</v>
      </c>
      <c r="C50" s="151"/>
      <c r="D50" s="273"/>
      <c r="E50" s="274"/>
      <c r="F50" s="273"/>
      <c r="G50" s="274"/>
      <c r="H50" s="274"/>
      <c r="I50" s="274"/>
      <c r="J50" s="274"/>
      <c r="K50" s="274"/>
      <c r="L50" s="274"/>
      <c r="M50" s="212"/>
      <c r="N50" s="223">
        <f>SUM(N51:N74)</f>
        <v>0</v>
      </c>
      <c r="O50" s="212"/>
      <c r="P50" s="223">
        <f>SUM(P51:P74)</f>
        <v>0</v>
      </c>
      <c r="Q50" s="224"/>
      <c r="R50" s="223">
        <f>SUM(R51:R75)</f>
        <v>0</v>
      </c>
      <c r="S50" s="273"/>
      <c r="T50" s="212"/>
      <c r="U50" s="223">
        <f>SUM(U51:U74)</f>
        <v>0</v>
      </c>
      <c r="V50" s="212"/>
      <c r="W50" s="223">
        <f>SUM(W51:W74)</f>
        <v>0</v>
      </c>
      <c r="X50" s="224"/>
      <c r="Y50" s="223">
        <f>SUM(Y51:Y75)</f>
        <v>0</v>
      </c>
      <c r="Z50" s="273"/>
      <c r="AA50" s="212"/>
      <c r="AB50" s="223">
        <f>SUM(AB51:AB74)</f>
        <v>0</v>
      </c>
      <c r="AC50" s="212"/>
      <c r="AD50" s="223">
        <f>SUM(AD51:AD74)</f>
        <v>0</v>
      </c>
      <c r="AE50" s="224"/>
      <c r="AF50" s="223">
        <f>SUM(AF51:AF75)</f>
        <v>0</v>
      </c>
      <c r="AG50" s="131"/>
      <c r="AH50" s="131"/>
      <c r="AI50" s="131"/>
      <c r="AJ50" s="131"/>
      <c r="AK50" s="131"/>
      <c r="AL50" s="131"/>
      <c r="AM50" s="131"/>
      <c r="AN50" s="131"/>
      <c r="AO50" s="131"/>
      <c r="AP50" s="131"/>
      <c r="AQ50" s="131"/>
      <c r="AR50" s="131"/>
      <c r="AS50" s="131"/>
      <c r="AT50" s="131"/>
    </row>
    <row r="51" spans="2:46" ht="28.5" x14ac:dyDescent="0.75">
      <c r="B51" s="139" t="s">
        <v>116</v>
      </c>
      <c r="C51" s="154" t="s">
        <v>17</v>
      </c>
      <c r="D51" s="263"/>
      <c r="E51" s="325"/>
      <c r="F51" s="263"/>
      <c r="G51" s="282">
        <v>195</v>
      </c>
      <c r="H51" s="281">
        <f t="shared" ref="H51" si="106">G51</f>
        <v>195</v>
      </c>
      <c r="I51" s="282">
        <v>193</v>
      </c>
      <c r="J51" s="281">
        <f t="shared" ref="J51" si="107">I51</f>
        <v>193</v>
      </c>
      <c r="K51" s="283"/>
      <c r="L51" s="281">
        <f t="shared" ref="L51:L61" si="108">J51</f>
        <v>193</v>
      </c>
      <c r="M51" s="195"/>
      <c r="N51" s="196">
        <f t="shared" ref="N51:N75" si="109">SUM(M51*L51)/1000000</f>
        <v>0</v>
      </c>
      <c r="O51" s="195"/>
      <c r="P51" s="199">
        <f t="shared" ref="P51:P75" si="110">SUM(O51*L51)/1000000</f>
        <v>0</v>
      </c>
      <c r="Q51" s="197">
        <f t="shared" ref="Q51:Q73" si="111">M51+O51</f>
        <v>0</v>
      </c>
      <c r="R51" s="198">
        <f t="shared" ref="R51:R73" si="112">N51+P51</f>
        <v>0</v>
      </c>
      <c r="S51" s="282">
        <v>191</v>
      </c>
      <c r="T51" s="195"/>
      <c r="U51" s="196">
        <f t="shared" ref="U51:U75" si="113">SUM(S51*T51)/1000000</f>
        <v>0</v>
      </c>
      <c r="V51" s="195"/>
      <c r="W51" s="199">
        <f>SUM(S51*V51)/1000000</f>
        <v>0</v>
      </c>
      <c r="X51" s="197">
        <f t="shared" ref="X51:X73" si="114">T51+V51</f>
        <v>0</v>
      </c>
      <c r="Y51" s="198">
        <f t="shared" ref="Y51:Y73" si="115">U51+W51</f>
        <v>0</v>
      </c>
      <c r="Z51" s="307">
        <f t="shared" ref="Z51:Z60" si="116">S51</f>
        <v>191</v>
      </c>
      <c r="AA51" s="195"/>
      <c r="AB51" s="196">
        <f>SUM(Z51*AA51)/1000000</f>
        <v>0</v>
      </c>
      <c r="AC51" s="195"/>
      <c r="AD51" s="199">
        <f>SUM(Z51*AC51)/1000000</f>
        <v>0</v>
      </c>
      <c r="AE51" s="197">
        <f t="shared" ref="AE51:AE73" si="117">AA51+AC51</f>
        <v>0</v>
      </c>
      <c r="AF51" s="198">
        <f t="shared" ref="AF51:AF73" si="118">AB51+AD51</f>
        <v>0</v>
      </c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</row>
    <row r="52" spans="2:46" ht="30" customHeight="1" x14ac:dyDescent="0.75">
      <c r="B52" s="141"/>
      <c r="C52" s="155" t="s">
        <v>204</v>
      </c>
      <c r="D52" s="284"/>
      <c r="E52" s="326"/>
      <c r="F52" s="284"/>
      <c r="G52" s="286">
        <v>176</v>
      </c>
      <c r="H52" s="285">
        <f t="shared" ref="H52:H53" si="119">G52</f>
        <v>176</v>
      </c>
      <c r="I52" s="286">
        <v>180</v>
      </c>
      <c r="J52" s="285">
        <f t="shared" ref="J52:J53" si="120">I52</f>
        <v>180</v>
      </c>
      <c r="K52" s="287"/>
      <c r="L52" s="285">
        <f t="shared" ref="L52:L53" si="121">J52</f>
        <v>180</v>
      </c>
      <c r="M52" s="225"/>
      <c r="N52" s="226">
        <f t="shared" ref="N52:N53" si="122">SUM(M52*L52)/1000000</f>
        <v>0</v>
      </c>
      <c r="O52" s="225"/>
      <c r="P52" s="226">
        <f t="shared" ref="P52:P59" si="123">SUM(O52*L52)/1000000</f>
        <v>0</v>
      </c>
      <c r="Q52" s="227">
        <f t="shared" ref="Q52:Q59" si="124">M52+O52</f>
        <v>0</v>
      </c>
      <c r="R52" s="228">
        <f t="shared" ref="R52:R59" si="125">N52+P52</f>
        <v>0</v>
      </c>
      <c r="S52" s="308">
        <f t="shared" ref="S52" si="126">L52</f>
        <v>180</v>
      </c>
      <c r="T52" s="225"/>
      <c r="U52" s="226">
        <f t="shared" ref="U52:U59" si="127">SUM(S52*T52)/1000000</f>
        <v>0</v>
      </c>
      <c r="V52" s="225"/>
      <c r="W52" s="229">
        <f t="shared" ref="W52:W59" si="128">SUM(S52*V52)/1000000</f>
        <v>0</v>
      </c>
      <c r="X52" s="227">
        <f t="shared" ref="X52:X59" si="129">T52+V52</f>
        <v>0</v>
      </c>
      <c r="Y52" s="228">
        <f t="shared" ref="Y52:Y59" si="130">U52+W52</f>
        <v>0</v>
      </c>
      <c r="Z52" s="308">
        <f t="shared" ref="Z52:Z53" si="131">S52</f>
        <v>180</v>
      </c>
      <c r="AA52" s="225"/>
      <c r="AB52" s="226">
        <f t="shared" ref="AB52:AB59" si="132">SUM(Z52*AA52)/1000000</f>
        <v>0</v>
      </c>
      <c r="AC52" s="225"/>
      <c r="AD52" s="229">
        <f t="shared" ref="AD52:AD59" si="133">SUM(Z52*AC52)/1000000</f>
        <v>0</v>
      </c>
      <c r="AE52" s="227">
        <f t="shared" ref="AE52:AE53" si="134">AA52+AC52</f>
        <v>0</v>
      </c>
      <c r="AF52" s="228">
        <f t="shared" ref="AF52:AF53" si="135">AB52+AD52</f>
        <v>0</v>
      </c>
      <c r="AG52" s="116"/>
      <c r="AH52" s="116"/>
      <c r="AI52" s="116"/>
      <c r="AJ52" s="116"/>
      <c r="AK52" s="116"/>
      <c r="AL52" s="116"/>
      <c r="AM52" s="116"/>
      <c r="AN52" s="116"/>
      <c r="AO52" s="116"/>
      <c r="AP52" s="116"/>
      <c r="AQ52" s="116"/>
      <c r="AR52" s="116"/>
      <c r="AS52" s="116"/>
      <c r="AT52" s="116"/>
    </row>
    <row r="53" spans="2:46" ht="30" customHeight="1" x14ac:dyDescent="0.75">
      <c r="B53" s="141"/>
      <c r="C53" s="155" t="s">
        <v>205</v>
      </c>
      <c r="D53" s="284"/>
      <c r="E53" s="326"/>
      <c r="F53" s="284"/>
      <c r="G53" s="286">
        <v>202</v>
      </c>
      <c r="H53" s="285">
        <f t="shared" si="119"/>
        <v>202</v>
      </c>
      <c r="I53" s="286">
        <v>204</v>
      </c>
      <c r="J53" s="285">
        <f t="shared" si="120"/>
        <v>204</v>
      </c>
      <c r="K53" s="287"/>
      <c r="L53" s="285">
        <f t="shared" si="121"/>
        <v>204</v>
      </c>
      <c r="M53" s="225"/>
      <c r="N53" s="226">
        <f t="shared" si="122"/>
        <v>0</v>
      </c>
      <c r="O53" s="225"/>
      <c r="P53" s="229">
        <f t="shared" si="123"/>
        <v>0</v>
      </c>
      <c r="Q53" s="227">
        <f t="shared" si="124"/>
        <v>0</v>
      </c>
      <c r="R53" s="228">
        <f t="shared" si="125"/>
        <v>0</v>
      </c>
      <c r="S53" s="308">
        <v>195</v>
      </c>
      <c r="T53" s="225"/>
      <c r="U53" s="226">
        <f t="shared" si="127"/>
        <v>0</v>
      </c>
      <c r="V53" s="225"/>
      <c r="W53" s="229">
        <f t="shared" si="128"/>
        <v>0</v>
      </c>
      <c r="X53" s="227">
        <f t="shared" si="129"/>
        <v>0</v>
      </c>
      <c r="Y53" s="228">
        <f t="shared" si="130"/>
        <v>0</v>
      </c>
      <c r="Z53" s="308">
        <f t="shared" si="131"/>
        <v>195</v>
      </c>
      <c r="AA53" s="225"/>
      <c r="AB53" s="226">
        <f t="shared" si="132"/>
        <v>0</v>
      </c>
      <c r="AC53" s="225"/>
      <c r="AD53" s="229">
        <f t="shared" si="133"/>
        <v>0</v>
      </c>
      <c r="AE53" s="227">
        <f t="shared" si="134"/>
        <v>0</v>
      </c>
      <c r="AF53" s="228">
        <f t="shared" si="135"/>
        <v>0</v>
      </c>
      <c r="AG53" s="116"/>
      <c r="AH53" s="116"/>
      <c r="AI53" s="116"/>
      <c r="AJ53" s="116"/>
      <c r="AK53" s="116"/>
      <c r="AL53" s="116"/>
      <c r="AM53" s="116"/>
      <c r="AN53" s="116"/>
      <c r="AO53" s="116"/>
      <c r="AP53" s="116"/>
      <c r="AQ53" s="116"/>
      <c r="AR53" s="116"/>
      <c r="AS53" s="116"/>
      <c r="AT53" s="116"/>
    </row>
    <row r="54" spans="2:46" ht="30" customHeight="1" x14ac:dyDescent="0.75">
      <c r="B54" s="141"/>
      <c r="C54" s="345" t="s">
        <v>212</v>
      </c>
      <c r="D54" s="346"/>
      <c r="E54" s="347"/>
      <c r="F54" s="346"/>
      <c r="G54" s="348"/>
      <c r="H54" s="348"/>
      <c r="I54" s="348"/>
      <c r="J54" s="348"/>
      <c r="K54" s="349"/>
      <c r="L54" s="348"/>
      <c r="M54" s="350"/>
      <c r="N54" s="360">
        <f t="shared" ref="N54:N59" si="136">SUM(M54*L54)/1000000</f>
        <v>0</v>
      </c>
      <c r="O54" s="350"/>
      <c r="P54" s="360">
        <f t="shared" si="123"/>
        <v>0</v>
      </c>
      <c r="Q54" s="361">
        <f t="shared" si="124"/>
        <v>0</v>
      </c>
      <c r="R54" s="362">
        <f t="shared" si="125"/>
        <v>0</v>
      </c>
      <c r="S54" s="348">
        <f t="shared" ref="S54:S59" si="137">L54</f>
        <v>0</v>
      </c>
      <c r="T54" s="350"/>
      <c r="U54" s="360">
        <f t="shared" si="127"/>
        <v>0</v>
      </c>
      <c r="V54" s="350"/>
      <c r="W54" s="364">
        <f t="shared" si="128"/>
        <v>0</v>
      </c>
      <c r="X54" s="365">
        <f t="shared" si="129"/>
        <v>0</v>
      </c>
      <c r="Y54" s="362">
        <f t="shared" si="130"/>
        <v>0</v>
      </c>
      <c r="Z54" s="338">
        <f t="shared" ref="Z54:Z59" si="138">S54</f>
        <v>0</v>
      </c>
      <c r="AA54" s="350"/>
      <c r="AB54" s="351">
        <f t="shared" si="132"/>
        <v>0</v>
      </c>
      <c r="AC54" s="350"/>
      <c r="AD54" s="353">
        <f t="shared" si="133"/>
        <v>0</v>
      </c>
      <c r="AE54" s="365">
        <f>AA54+AC54</f>
        <v>0</v>
      </c>
      <c r="AF54" s="352">
        <f>AB54+AD54</f>
        <v>0</v>
      </c>
      <c r="AG54" s="116"/>
      <c r="AH54" s="116"/>
      <c r="AI54" s="116"/>
      <c r="AJ54" s="116"/>
      <c r="AK54" s="116"/>
      <c r="AL54" s="116"/>
      <c r="AM54" s="116"/>
      <c r="AN54" s="116"/>
      <c r="AO54" s="116"/>
      <c r="AP54" s="116"/>
      <c r="AQ54" s="116"/>
      <c r="AR54" s="116"/>
      <c r="AS54" s="116"/>
      <c r="AT54" s="116"/>
    </row>
    <row r="55" spans="2:46" ht="30" customHeight="1" x14ac:dyDescent="0.75">
      <c r="B55" s="141"/>
      <c r="C55" s="142" t="s">
        <v>212</v>
      </c>
      <c r="D55" s="251"/>
      <c r="E55" s="330"/>
      <c r="F55" s="251"/>
      <c r="G55" s="253"/>
      <c r="H55" s="253"/>
      <c r="I55" s="304"/>
      <c r="J55" s="253"/>
      <c r="K55" s="254"/>
      <c r="L55" s="304"/>
      <c r="M55" s="178"/>
      <c r="N55" s="360">
        <f t="shared" si="136"/>
        <v>0</v>
      </c>
      <c r="O55" s="178"/>
      <c r="P55" s="360">
        <f t="shared" si="123"/>
        <v>0</v>
      </c>
      <c r="Q55" s="361">
        <f t="shared" si="124"/>
        <v>0</v>
      </c>
      <c r="R55" s="362">
        <f t="shared" si="125"/>
        <v>0</v>
      </c>
      <c r="S55" s="304">
        <f t="shared" si="137"/>
        <v>0</v>
      </c>
      <c r="T55" s="178"/>
      <c r="U55" s="360">
        <f t="shared" si="127"/>
        <v>0</v>
      </c>
      <c r="V55" s="178"/>
      <c r="W55" s="364">
        <f t="shared" si="128"/>
        <v>0</v>
      </c>
      <c r="X55" s="365">
        <f t="shared" si="129"/>
        <v>0</v>
      </c>
      <c r="Y55" s="362">
        <f t="shared" si="130"/>
        <v>0</v>
      </c>
      <c r="Z55" s="304">
        <f t="shared" si="138"/>
        <v>0</v>
      </c>
      <c r="AA55" s="178"/>
      <c r="AB55" s="179">
        <f t="shared" si="132"/>
        <v>0</v>
      </c>
      <c r="AC55" s="178"/>
      <c r="AD55" s="182">
        <f t="shared" si="133"/>
        <v>0</v>
      </c>
      <c r="AE55" s="365">
        <f>AA55+AC55</f>
        <v>0</v>
      </c>
      <c r="AF55" s="181">
        <f t="shared" ref="AF55" si="139">AB55+AD55</f>
        <v>0</v>
      </c>
      <c r="AG55" s="116"/>
      <c r="AH55" s="116"/>
      <c r="AI55" s="116"/>
      <c r="AJ55" s="116"/>
      <c r="AK55" s="116"/>
      <c r="AL55" s="116"/>
      <c r="AM55" s="116"/>
      <c r="AN55" s="116"/>
      <c r="AO55" s="116"/>
      <c r="AP55" s="116"/>
      <c r="AQ55" s="116"/>
      <c r="AR55" s="116"/>
      <c r="AS55" s="116"/>
      <c r="AT55" s="116"/>
    </row>
    <row r="56" spans="2:46" ht="30" customHeight="1" x14ac:dyDescent="0.75">
      <c r="B56" s="141"/>
      <c r="C56" s="345" t="s">
        <v>212</v>
      </c>
      <c r="D56" s="346"/>
      <c r="E56" s="347"/>
      <c r="F56" s="346"/>
      <c r="G56" s="348"/>
      <c r="H56" s="348"/>
      <c r="I56" s="348"/>
      <c r="J56" s="348"/>
      <c r="K56" s="349"/>
      <c r="L56" s="348"/>
      <c r="M56" s="350"/>
      <c r="N56" s="360">
        <f t="shared" si="136"/>
        <v>0</v>
      </c>
      <c r="O56" s="350"/>
      <c r="P56" s="360">
        <f t="shared" si="123"/>
        <v>0</v>
      </c>
      <c r="Q56" s="361">
        <f t="shared" si="124"/>
        <v>0</v>
      </c>
      <c r="R56" s="362">
        <f t="shared" si="125"/>
        <v>0</v>
      </c>
      <c r="S56" s="348">
        <f t="shared" si="137"/>
        <v>0</v>
      </c>
      <c r="T56" s="350"/>
      <c r="U56" s="360">
        <f t="shared" si="127"/>
        <v>0</v>
      </c>
      <c r="V56" s="350"/>
      <c r="W56" s="364">
        <f t="shared" si="128"/>
        <v>0</v>
      </c>
      <c r="X56" s="365">
        <f t="shared" si="129"/>
        <v>0</v>
      </c>
      <c r="Y56" s="362">
        <f t="shared" si="130"/>
        <v>0</v>
      </c>
      <c r="Z56" s="338">
        <f t="shared" si="138"/>
        <v>0</v>
      </c>
      <c r="AA56" s="350"/>
      <c r="AB56" s="351">
        <f t="shared" si="132"/>
        <v>0</v>
      </c>
      <c r="AC56" s="350"/>
      <c r="AD56" s="353">
        <f t="shared" si="133"/>
        <v>0</v>
      </c>
      <c r="AE56" s="365">
        <f>AA56+AC56</f>
        <v>0</v>
      </c>
      <c r="AF56" s="352">
        <f>AB56+AD56</f>
        <v>0</v>
      </c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116"/>
      <c r="AT56" s="116"/>
    </row>
    <row r="57" spans="2:46" ht="30" customHeight="1" x14ac:dyDescent="0.75">
      <c r="B57" s="141"/>
      <c r="C57" s="345" t="s">
        <v>212</v>
      </c>
      <c r="D57" s="346"/>
      <c r="E57" s="347"/>
      <c r="F57" s="346"/>
      <c r="G57" s="348"/>
      <c r="H57" s="348"/>
      <c r="I57" s="348"/>
      <c r="J57" s="348"/>
      <c r="K57" s="349"/>
      <c r="L57" s="348"/>
      <c r="M57" s="350"/>
      <c r="N57" s="360">
        <f t="shared" si="136"/>
        <v>0</v>
      </c>
      <c r="O57" s="350"/>
      <c r="P57" s="360">
        <f>SUM(O57*L57)/1000000</f>
        <v>0</v>
      </c>
      <c r="Q57" s="361">
        <f>M57+O57</f>
        <v>0</v>
      </c>
      <c r="R57" s="362">
        <f t="shared" si="125"/>
        <v>0</v>
      </c>
      <c r="S57" s="348">
        <f t="shared" si="137"/>
        <v>0</v>
      </c>
      <c r="T57" s="350"/>
      <c r="U57" s="360">
        <f t="shared" si="127"/>
        <v>0</v>
      </c>
      <c r="V57" s="350"/>
      <c r="W57" s="364">
        <f t="shared" si="128"/>
        <v>0</v>
      </c>
      <c r="X57" s="365">
        <f t="shared" si="129"/>
        <v>0</v>
      </c>
      <c r="Y57" s="362">
        <f t="shared" si="130"/>
        <v>0</v>
      </c>
      <c r="Z57" s="338">
        <f t="shared" si="138"/>
        <v>0</v>
      </c>
      <c r="AA57" s="350"/>
      <c r="AB57" s="351">
        <f t="shared" si="132"/>
        <v>0</v>
      </c>
      <c r="AC57" s="350"/>
      <c r="AD57" s="353">
        <f t="shared" si="133"/>
        <v>0</v>
      </c>
      <c r="AE57" s="365">
        <f>AA57+AC57</f>
        <v>0</v>
      </c>
      <c r="AF57" s="352">
        <f>AB57+AD57</f>
        <v>0</v>
      </c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116"/>
      <c r="AT57" s="116"/>
    </row>
    <row r="58" spans="2:46" ht="30" customHeight="1" x14ac:dyDescent="0.75">
      <c r="B58" s="141"/>
      <c r="C58" s="142" t="s">
        <v>212</v>
      </c>
      <c r="D58" s="251"/>
      <c r="E58" s="330"/>
      <c r="F58" s="251"/>
      <c r="G58" s="253"/>
      <c r="H58" s="253"/>
      <c r="I58" s="304"/>
      <c r="J58" s="253"/>
      <c r="K58" s="254"/>
      <c r="L58" s="304"/>
      <c r="M58" s="178"/>
      <c r="N58" s="360">
        <f t="shared" si="136"/>
        <v>0</v>
      </c>
      <c r="O58" s="178"/>
      <c r="P58" s="360">
        <f t="shared" si="123"/>
        <v>0</v>
      </c>
      <c r="Q58" s="361">
        <f t="shared" si="124"/>
        <v>0</v>
      </c>
      <c r="R58" s="362">
        <f t="shared" si="125"/>
        <v>0</v>
      </c>
      <c r="S58" s="304">
        <f t="shared" si="137"/>
        <v>0</v>
      </c>
      <c r="T58" s="178"/>
      <c r="U58" s="360">
        <f t="shared" si="127"/>
        <v>0</v>
      </c>
      <c r="V58" s="178"/>
      <c r="W58" s="364">
        <f t="shared" si="128"/>
        <v>0</v>
      </c>
      <c r="X58" s="365">
        <f t="shared" si="129"/>
        <v>0</v>
      </c>
      <c r="Y58" s="362">
        <f t="shared" si="130"/>
        <v>0</v>
      </c>
      <c r="Z58" s="304">
        <f t="shared" si="138"/>
        <v>0</v>
      </c>
      <c r="AA58" s="178"/>
      <c r="AB58" s="179">
        <f t="shared" si="132"/>
        <v>0</v>
      </c>
      <c r="AC58" s="178"/>
      <c r="AD58" s="182">
        <f t="shared" si="133"/>
        <v>0</v>
      </c>
      <c r="AE58" s="365">
        <f>AA58+AC58</f>
        <v>0</v>
      </c>
      <c r="AF58" s="181">
        <f t="shared" ref="AF58:AF59" si="140">AB58+AD58</f>
        <v>0</v>
      </c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116"/>
      <c r="AT58" s="116"/>
    </row>
    <row r="59" spans="2:46" ht="30" customHeight="1" x14ac:dyDescent="0.75">
      <c r="B59" s="141"/>
      <c r="C59" s="142" t="s">
        <v>212</v>
      </c>
      <c r="D59" s="251"/>
      <c r="E59" s="330"/>
      <c r="F59" s="251"/>
      <c r="G59" s="253"/>
      <c r="H59" s="253"/>
      <c r="I59" s="304"/>
      <c r="J59" s="253"/>
      <c r="K59" s="254"/>
      <c r="L59" s="304"/>
      <c r="M59" s="178"/>
      <c r="N59" s="360">
        <f t="shared" si="136"/>
        <v>0</v>
      </c>
      <c r="O59" s="178"/>
      <c r="P59" s="360">
        <f t="shared" si="123"/>
        <v>0</v>
      </c>
      <c r="Q59" s="361">
        <f t="shared" si="124"/>
        <v>0</v>
      </c>
      <c r="R59" s="362">
        <f t="shared" si="125"/>
        <v>0</v>
      </c>
      <c r="S59" s="304">
        <f t="shared" si="137"/>
        <v>0</v>
      </c>
      <c r="T59" s="178"/>
      <c r="U59" s="360">
        <f t="shared" si="127"/>
        <v>0</v>
      </c>
      <c r="V59" s="178"/>
      <c r="W59" s="364">
        <f t="shared" si="128"/>
        <v>0</v>
      </c>
      <c r="X59" s="365">
        <f t="shared" si="129"/>
        <v>0</v>
      </c>
      <c r="Y59" s="362">
        <f t="shared" si="130"/>
        <v>0</v>
      </c>
      <c r="Z59" s="304">
        <f t="shared" si="138"/>
        <v>0</v>
      </c>
      <c r="AA59" s="178"/>
      <c r="AB59" s="179">
        <f t="shared" si="132"/>
        <v>0</v>
      </c>
      <c r="AC59" s="178"/>
      <c r="AD59" s="182">
        <f t="shared" si="133"/>
        <v>0</v>
      </c>
      <c r="AE59" s="365">
        <f>AA59+AC59</f>
        <v>0</v>
      </c>
      <c r="AF59" s="181">
        <f t="shared" si="140"/>
        <v>0</v>
      </c>
      <c r="AG59" s="116"/>
      <c r="AH59" s="116"/>
      <c r="AI59" s="116"/>
      <c r="AJ59" s="116"/>
      <c r="AK59" s="116"/>
      <c r="AL59" s="116"/>
      <c r="AM59" s="116"/>
      <c r="AN59" s="116"/>
      <c r="AO59" s="116"/>
      <c r="AP59" s="116"/>
      <c r="AQ59" s="116"/>
      <c r="AR59" s="116"/>
      <c r="AS59" s="116"/>
      <c r="AT59" s="116"/>
    </row>
    <row r="60" spans="2:46" ht="42.75" x14ac:dyDescent="0.75">
      <c r="B60" s="141"/>
      <c r="C60" s="155" t="s">
        <v>211</v>
      </c>
      <c r="D60" s="284"/>
      <c r="E60" s="326"/>
      <c r="F60" s="284"/>
      <c r="G60" s="286">
        <v>78</v>
      </c>
      <c r="H60" s="289">
        <v>78</v>
      </c>
      <c r="I60" s="286">
        <v>85</v>
      </c>
      <c r="J60" s="286">
        <v>69</v>
      </c>
      <c r="K60" s="287"/>
      <c r="L60" s="285">
        <f t="shared" si="108"/>
        <v>69</v>
      </c>
      <c r="M60" s="225"/>
      <c r="N60" s="226">
        <f t="shared" si="109"/>
        <v>0</v>
      </c>
      <c r="O60" s="225"/>
      <c r="P60" s="229">
        <f t="shared" si="110"/>
        <v>0</v>
      </c>
      <c r="Q60" s="227">
        <f t="shared" si="111"/>
        <v>0</v>
      </c>
      <c r="R60" s="228">
        <f t="shared" si="112"/>
        <v>0</v>
      </c>
      <c r="S60" s="342">
        <v>62</v>
      </c>
      <c r="T60" s="225"/>
      <c r="U60" s="226">
        <f t="shared" si="113"/>
        <v>0</v>
      </c>
      <c r="V60" s="225"/>
      <c r="W60" s="229">
        <f t="shared" ref="W60:W75" si="141">SUM(S60*V60)/1000000</f>
        <v>0</v>
      </c>
      <c r="X60" s="227">
        <f t="shared" si="114"/>
        <v>0</v>
      </c>
      <c r="Y60" s="228">
        <f t="shared" si="115"/>
        <v>0</v>
      </c>
      <c r="Z60" s="308">
        <f t="shared" si="116"/>
        <v>62</v>
      </c>
      <c r="AA60" s="225"/>
      <c r="AB60" s="226">
        <f t="shared" ref="AB60:AB75" si="142">SUM(Z60*AA60)/1000000</f>
        <v>0</v>
      </c>
      <c r="AC60" s="225"/>
      <c r="AD60" s="229">
        <f t="shared" ref="AD60:AD75" si="143">SUM(Z60*AC60)/1000000</f>
        <v>0</v>
      </c>
      <c r="AE60" s="227">
        <f t="shared" si="117"/>
        <v>0</v>
      </c>
      <c r="AF60" s="228">
        <f t="shared" si="118"/>
        <v>0</v>
      </c>
      <c r="AG60" s="116"/>
      <c r="AH60" s="116"/>
      <c r="AI60" s="116"/>
      <c r="AJ60" s="116"/>
      <c r="AK60" s="116"/>
      <c r="AL60" s="116"/>
      <c r="AM60" s="116"/>
      <c r="AN60" s="116"/>
      <c r="AO60" s="116"/>
      <c r="AP60" s="116"/>
      <c r="AQ60" s="116"/>
      <c r="AR60" s="116"/>
      <c r="AS60" s="116"/>
      <c r="AT60" s="116"/>
    </row>
    <row r="61" spans="2:46" ht="42.75" x14ac:dyDescent="0.75">
      <c r="B61" s="141" t="s">
        <v>138</v>
      </c>
      <c r="C61" s="156" t="s">
        <v>210</v>
      </c>
      <c r="D61" s="259"/>
      <c r="E61" s="327"/>
      <c r="F61" s="259"/>
      <c r="G61" s="260">
        <v>6</v>
      </c>
      <c r="H61" s="260">
        <f t="shared" ref="H61" si="144">G61</f>
        <v>6</v>
      </c>
      <c r="I61" s="260">
        <v>6</v>
      </c>
      <c r="J61" s="286">
        <v>3</v>
      </c>
      <c r="K61" s="261"/>
      <c r="L61" s="260">
        <f t="shared" si="108"/>
        <v>3</v>
      </c>
      <c r="M61" s="186"/>
      <c r="N61" s="187">
        <f t="shared" si="109"/>
        <v>0</v>
      </c>
      <c r="O61" s="186"/>
      <c r="P61" s="188">
        <f t="shared" si="110"/>
        <v>0</v>
      </c>
      <c r="Q61" s="189">
        <f t="shared" si="111"/>
        <v>0</v>
      </c>
      <c r="R61" s="190">
        <f t="shared" si="112"/>
        <v>0</v>
      </c>
      <c r="S61" s="310">
        <f t="shared" ref="S61:S70" si="145">L61</f>
        <v>3</v>
      </c>
      <c r="T61" s="186"/>
      <c r="U61" s="187">
        <f t="shared" si="113"/>
        <v>0</v>
      </c>
      <c r="V61" s="186"/>
      <c r="W61" s="188">
        <f t="shared" si="141"/>
        <v>0</v>
      </c>
      <c r="X61" s="189">
        <f t="shared" si="114"/>
        <v>0</v>
      </c>
      <c r="Y61" s="190">
        <f t="shared" si="115"/>
        <v>0</v>
      </c>
      <c r="Z61" s="310">
        <f t="shared" ref="Z61:Z75" si="146">S61</f>
        <v>3</v>
      </c>
      <c r="AA61" s="186"/>
      <c r="AB61" s="187">
        <f t="shared" si="142"/>
        <v>0</v>
      </c>
      <c r="AC61" s="186"/>
      <c r="AD61" s="188">
        <f t="shared" si="143"/>
        <v>0</v>
      </c>
      <c r="AE61" s="189">
        <f t="shared" si="117"/>
        <v>0</v>
      </c>
      <c r="AF61" s="190">
        <f t="shared" si="118"/>
        <v>0</v>
      </c>
      <c r="AG61" s="116"/>
      <c r="AH61" s="116"/>
      <c r="AI61" s="116"/>
      <c r="AJ61" s="116"/>
      <c r="AK61" s="116"/>
      <c r="AL61" s="116"/>
      <c r="AM61" s="116"/>
      <c r="AN61" s="116"/>
      <c r="AO61" s="116"/>
      <c r="AP61" s="116"/>
      <c r="AQ61" s="116"/>
      <c r="AR61" s="116"/>
      <c r="AS61" s="116"/>
      <c r="AT61" s="116"/>
    </row>
    <row r="62" spans="2:46" ht="30" customHeight="1" x14ac:dyDescent="0.75">
      <c r="B62" s="139" t="s">
        <v>117</v>
      </c>
      <c r="C62" s="140" t="s">
        <v>75</v>
      </c>
      <c r="D62" s="247"/>
      <c r="E62" s="328"/>
      <c r="F62" s="247"/>
      <c r="G62" s="249">
        <v>36</v>
      </c>
      <c r="H62" s="290">
        <v>15</v>
      </c>
      <c r="I62" s="249">
        <f t="shared" ref="I62:I69" si="147">H62</f>
        <v>15</v>
      </c>
      <c r="J62" s="290">
        <v>20</v>
      </c>
      <c r="K62" s="250"/>
      <c r="L62" s="249">
        <f t="shared" ref="L62:L69" si="148">J62</f>
        <v>20</v>
      </c>
      <c r="M62" s="173"/>
      <c r="N62" s="174">
        <f t="shared" si="109"/>
        <v>0</v>
      </c>
      <c r="O62" s="216"/>
      <c r="P62" s="174">
        <f t="shared" si="110"/>
        <v>0</v>
      </c>
      <c r="Q62" s="176">
        <f t="shared" si="111"/>
        <v>0</v>
      </c>
      <c r="R62" s="177">
        <f t="shared" si="112"/>
        <v>0</v>
      </c>
      <c r="S62" s="343">
        <v>14</v>
      </c>
      <c r="T62" s="173"/>
      <c r="U62" s="174">
        <f t="shared" si="113"/>
        <v>0</v>
      </c>
      <c r="V62" s="173"/>
      <c r="W62" s="196">
        <f t="shared" si="141"/>
        <v>0</v>
      </c>
      <c r="X62" s="176">
        <f t="shared" si="114"/>
        <v>0</v>
      </c>
      <c r="Y62" s="177">
        <f t="shared" si="115"/>
        <v>0</v>
      </c>
      <c r="Z62" s="315">
        <f t="shared" si="146"/>
        <v>14</v>
      </c>
      <c r="AA62" s="173"/>
      <c r="AB62" s="174">
        <f t="shared" si="142"/>
        <v>0</v>
      </c>
      <c r="AC62" s="173"/>
      <c r="AD62" s="196">
        <f t="shared" si="143"/>
        <v>0</v>
      </c>
      <c r="AE62" s="176">
        <f t="shared" si="117"/>
        <v>0</v>
      </c>
      <c r="AF62" s="177">
        <f t="shared" si="118"/>
        <v>0</v>
      </c>
    </row>
    <row r="63" spans="2:46" ht="30" customHeight="1" x14ac:dyDescent="0.75">
      <c r="B63" s="141"/>
      <c r="C63" s="117" t="s">
        <v>61</v>
      </c>
      <c r="D63" s="291"/>
      <c r="E63" s="329"/>
      <c r="F63" s="291"/>
      <c r="G63" s="253">
        <v>6</v>
      </c>
      <c r="H63" s="280">
        <v>2</v>
      </c>
      <c r="I63" s="253">
        <f t="shared" si="147"/>
        <v>2</v>
      </c>
      <c r="J63" s="280">
        <v>3</v>
      </c>
      <c r="K63" s="292"/>
      <c r="L63" s="253">
        <f t="shared" si="148"/>
        <v>3</v>
      </c>
      <c r="M63" s="230"/>
      <c r="N63" s="231">
        <f t="shared" si="109"/>
        <v>0</v>
      </c>
      <c r="O63" s="230"/>
      <c r="P63" s="232">
        <f t="shared" si="110"/>
        <v>0</v>
      </c>
      <c r="Q63" s="180">
        <f t="shared" si="111"/>
        <v>0</v>
      </c>
      <c r="R63" s="181">
        <f t="shared" si="112"/>
        <v>0</v>
      </c>
      <c r="S63" s="244">
        <f t="shared" si="145"/>
        <v>3</v>
      </c>
      <c r="T63" s="230"/>
      <c r="U63" s="231">
        <f t="shared" si="113"/>
        <v>0</v>
      </c>
      <c r="V63" s="230"/>
      <c r="W63" s="232">
        <f t="shared" si="141"/>
        <v>0</v>
      </c>
      <c r="X63" s="180">
        <f t="shared" si="114"/>
        <v>0</v>
      </c>
      <c r="Y63" s="181">
        <f t="shared" si="115"/>
        <v>0</v>
      </c>
      <c r="Z63" s="244">
        <f t="shared" si="146"/>
        <v>3</v>
      </c>
      <c r="AA63" s="230"/>
      <c r="AB63" s="231">
        <f t="shared" si="142"/>
        <v>0</v>
      </c>
      <c r="AC63" s="230"/>
      <c r="AD63" s="232">
        <f t="shared" si="143"/>
        <v>0</v>
      </c>
      <c r="AE63" s="180">
        <f t="shared" si="117"/>
        <v>0</v>
      </c>
      <c r="AF63" s="181">
        <f t="shared" si="118"/>
        <v>0</v>
      </c>
    </row>
    <row r="64" spans="2:46" ht="30" customHeight="1" x14ac:dyDescent="0.75">
      <c r="B64" s="141"/>
      <c r="C64" s="142" t="s">
        <v>206</v>
      </c>
      <c r="D64" s="251"/>
      <c r="E64" s="330"/>
      <c r="F64" s="251"/>
      <c r="G64" s="253" t="s">
        <v>130</v>
      </c>
      <c r="H64" s="280">
        <v>0</v>
      </c>
      <c r="I64" s="253">
        <f t="shared" si="147"/>
        <v>0</v>
      </c>
      <c r="J64" s="253">
        <f>I64</f>
        <v>0</v>
      </c>
      <c r="K64" s="254"/>
      <c r="L64" s="253">
        <f t="shared" si="148"/>
        <v>0</v>
      </c>
      <c r="M64" s="178" t="s">
        <v>133</v>
      </c>
      <c r="N64" s="179">
        <v>0</v>
      </c>
      <c r="O64" s="178" t="s">
        <v>133</v>
      </c>
      <c r="P64" s="182">
        <v>0</v>
      </c>
      <c r="Q64" s="180" t="s">
        <v>133</v>
      </c>
      <c r="R64" s="181">
        <f t="shared" si="112"/>
        <v>0</v>
      </c>
      <c r="S64" s="304">
        <f t="shared" si="145"/>
        <v>0</v>
      </c>
      <c r="T64" s="178" t="s">
        <v>133</v>
      </c>
      <c r="U64" s="179">
        <v>0</v>
      </c>
      <c r="V64" s="178" t="s">
        <v>133</v>
      </c>
      <c r="W64" s="182">
        <v>0</v>
      </c>
      <c r="X64" s="180">
        <v>0</v>
      </c>
      <c r="Y64" s="181">
        <f t="shared" si="115"/>
        <v>0</v>
      </c>
      <c r="Z64" s="304">
        <f t="shared" si="146"/>
        <v>0</v>
      </c>
      <c r="AA64" s="178" t="s">
        <v>133</v>
      </c>
      <c r="AB64" s="179">
        <v>0</v>
      </c>
      <c r="AC64" s="178" t="s">
        <v>133</v>
      </c>
      <c r="AD64" s="182">
        <v>0</v>
      </c>
      <c r="AE64" s="180">
        <v>0</v>
      </c>
      <c r="AF64" s="181">
        <f t="shared" si="118"/>
        <v>0</v>
      </c>
    </row>
    <row r="65" spans="2:46" ht="42.75" x14ac:dyDescent="0.75">
      <c r="B65" s="141"/>
      <c r="C65" s="142" t="s">
        <v>207</v>
      </c>
      <c r="D65" s="251"/>
      <c r="E65" s="330"/>
      <c r="F65" s="251"/>
      <c r="G65" s="253">
        <v>26</v>
      </c>
      <c r="H65" s="253">
        <f>G65</f>
        <v>26</v>
      </c>
      <c r="I65" s="253">
        <f t="shared" si="147"/>
        <v>26</v>
      </c>
      <c r="J65" s="280">
        <v>17</v>
      </c>
      <c r="K65" s="254"/>
      <c r="L65" s="253">
        <f t="shared" si="148"/>
        <v>17</v>
      </c>
      <c r="M65" s="178"/>
      <c r="N65" s="179">
        <f t="shared" si="109"/>
        <v>0</v>
      </c>
      <c r="O65" s="178"/>
      <c r="P65" s="182">
        <f t="shared" si="110"/>
        <v>0</v>
      </c>
      <c r="Q65" s="180">
        <f t="shared" si="111"/>
        <v>0</v>
      </c>
      <c r="R65" s="181">
        <f t="shared" si="112"/>
        <v>0</v>
      </c>
      <c r="S65" s="344">
        <v>14</v>
      </c>
      <c r="T65" s="178"/>
      <c r="U65" s="179">
        <f t="shared" si="113"/>
        <v>0</v>
      </c>
      <c r="V65" s="178"/>
      <c r="W65" s="182">
        <f t="shared" si="141"/>
        <v>0</v>
      </c>
      <c r="X65" s="180">
        <f t="shared" si="114"/>
        <v>0</v>
      </c>
      <c r="Y65" s="181">
        <f t="shared" si="115"/>
        <v>0</v>
      </c>
      <c r="Z65" s="304">
        <f t="shared" si="146"/>
        <v>14</v>
      </c>
      <c r="AA65" s="178"/>
      <c r="AB65" s="179">
        <f t="shared" si="142"/>
        <v>0</v>
      </c>
      <c r="AC65" s="178"/>
      <c r="AD65" s="182">
        <f t="shared" si="143"/>
        <v>0</v>
      </c>
      <c r="AE65" s="180">
        <f t="shared" si="117"/>
        <v>0</v>
      </c>
      <c r="AF65" s="181">
        <f t="shared" si="118"/>
        <v>0</v>
      </c>
    </row>
    <row r="66" spans="2:46" ht="30" customHeight="1" x14ac:dyDescent="0.75">
      <c r="B66" s="141"/>
      <c r="C66" s="142" t="s">
        <v>99</v>
      </c>
      <c r="D66" s="251"/>
      <c r="E66" s="330"/>
      <c r="F66" s="251"/>
      <c r="G66" s="253">
        <v>140</v>
      </c>
      <c r="H66" s="280">
        <v>103</v>
      </c>
      <c r="I66" s="253">
        <f t="shared" si="147"/>
        <v>103</v>
      </c>
      <c r="J66" s="280">
        <v>109</v>
      </c>
      <c r="K66" s="254"/>
      <c r="L66" s="253">
        <f t="shared" si="148"/>
        <v>109</v>
      </c>
      <c r="M66" s="178"/>
      <c r="N66" s="179">
        <f t="shared" si="109"/>
        <v>0</v>
      </c>
      <c r="O66" s="178"/>
      <c r="P66" s="182">
        <f t="shared" si="110"/>
        <v>0</v>
      </c>
      <c r="Q66" s="180">
        <f t="shared" si="111"/>
        <v>0</v>
      </c>
      <c r="R66" s="181">
        <f t="shared" si="112"/>
        <v>0</v>
      </c>
      <c r="S66" s="344">
        <v>92</v>
      </c>
      <c r="T66" s="178"/>
      <c r="U66" s="179">
        <f t="shared" si="113"/>
        <v>0</v>
      </c>
      <c r="V66" s="178"/>
      <c r="W66" s="182">
        <f t="shared" si="141"/>
        <v>0</v>
      </c>
      <c r="X66" s="180">
        <f t="shared" si="114"/>
        <v>0</v>
      </c>
      <c r="Y66" s="181">
        <f t="shared" si="115"/>
        <v>0</v>
      </c>
      <c r="Z66" s="304">
        <f t="shared" si="146"/>
        <v>92</v>
      </c>
      <c r="AA66" s="178"/>
      <c r="AB66" s="179">
        <f t="shared" si="142"/>
        <v>0</v>
      </c>
      <c r="AC66" s="178"/>
      <c r="AD66" s="182">
        <f t="shared" si="143"/>
        <v>0</v>
      </c>
      <c r="AE66" s="180">
        <f t="shared" si="117"/>
        <v>0</v>
      </c>
      <c r="AF66" s="181">
        <f t="shared" si="118"/>
        <v>0</v>
      </c>
    </row>
    <row r="67" spans="2:46" ht="28.5" x14ac:dyDescent="0.75">
      <c r="B67" s="141"/>
      <c r="C67" s="142" t="s">
        <v>208</v>
      </c>
      <c r="D67" s="251"/>
      <c r="E67" s="330"/>
      <c r="F67" s="251"/>
      <c r="G67" s="253">
        <v>66</v>
      </c>
      <c r="H67" s="280">
        <v>0</v>
      </c>
      <c r="I67" s="253">
        <f t="shared" si="147"/>
        <v>0</v>
      </c>
      <c r="J67" s="253">
        <f>I67</f>
        <v>0</v>
      </c>
      <c r="K67" s="254"/>
      <c r="L67" s="253">
        <f t="shared" si="148"/>
        <v>0</v>
      </c>
      <c r="M67" s="178"/>
      <c r="N67" s="179">
        <f t="shared" si="109"/>
        <v>0</v>
      </c>
      <c r="O67" s="178"/>
      <c r="P67" s="182">
        <f t="shared" si="110"/>
        <v>0</v>
      </c>
      <c r="Q67" s="180">
        <f t="shared" si="111"/>
        <v>0</v>
      </c>
      <c r="R67" s="181">
        <f t="shared" si="112"/>
        <v>0</v>
      </c>
      <c r="S67" s="304">
        <f t="shared" si="145"/>
        <v>0</v>
      </c>
      <c r="T67" s="178"/>
      <c r="U67" s="179">
        <f t="shared" si="113"/>
        <v>0</v>
      </c>
      <c r="V67" s="178"/>
      <c r="W67" s="182">
        <f t="shared" si="141"/>
        <v>0</v>
      </c>
      <c r="X67" s="180">
        <f t="shared" si="114"/>
        <v>0</v>
      </c>
      <c r="Y67" s="181">
        <f t="shared" si="115"/>
        <v>0</v>
      </c>
      <c r="Z67" s="304">
        <f t="shared" si="146"/>
        <v>0</v>
      </c>
      <c r="AA67" s="178"/>
      <c r="AB67" s="179">
        <f t="shared" si="142"/>
        <v>0</v>
      </c>
      <c r="AC67" s="178"/>
      <c r="AD67" s="182">
        <f t="shared" si="143"/>
        <v>0</v>
      </c>
      <c r="AE67" s="180">
        <f t="shared" si="117"/>
        <v>0</v>
      </c>
      <c r="AF67" s="181">
        <f t="shared" si="118"/>
        <v>0</v>
      </c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</row>
    <row r="68" spans="2:46" ht="28.5" x14ac:dyDescent="0.75">
      <c r="B68" s="141"/>
      <c r="C68" s="142" t="s">
        <v>209</v>
      </c>
      <c r="D68" s="251"/>
      <c r="E68" s="330"/>
      <c r="F68" s="251"/>
      <c r="G68" s="253">
        <v>74</v>
      </c>
      <c r="H68" s="280">
        <v>0</v>
      </c>
      <c r="I68" s="253">
        <f t="shared" si="147"/>
        <v>0</v>
      </c>
      <c r="J68" s="253">
        <f>I68</f>
        <v>0</v>
      </c>
      <c r="K68" s="254"/>
      <c r="L68" s="253">
        <f t="shared" si="148"/>
        <v>0</v>
      </c>
      <c r="M68" s="178"/>
      <c r="N68" s="179">
        <f t="shared" si="109"/>
        <v>0</v>
      </c>
      <c r="O68" s="178"/>
      <c r="P68" s="182">
        <f t="shared" si="110"/>
        <v>0</v>
      </c>
      <c r="Q68" s="180">
        <f t="shared" si="111"/>
        <v>0</v>
      </c>
      <c r="R68" s="181">
        <f t="shared" si="112"/>
        <v>0</v>
      </c>
      <c r="S68" s="304">
        <f t="shared" si="145"/>
        <v>0</v>
      </c>
      <c r="T68" s="178"/>
      <c r="U68" s="179">
        <f t="shared" si="113"/>
        <v>0</v>
      </c>
      <c r="V68" s="178"/>
      <c r="W68" s="182">
        <f t="shared" si="141"/>
        <v>0</v>
      </c>
      <c r="X68" s="180">
        <f t="shared" si="114"/>
        <v>0</v>
      </c>
      <c r="Y68" s="181">
        <f t="shared" si="115"/>
        <v>0</v>
      </c>
      <c r="Z68" s="304">
        <f t="shared" si="146"/>
        <v>0</v>
      </c>
      <c r="AA68" s="178"/>
      <c r="AB68" s="179">
        <f t="shared" si="142"/>
        <v>0</v>
      </c>
      <c r="AC68" s="178"/>
      <c r="AD68" s="182">
        <f t="shared" si="143"/>
        <v>0</v>
      </c>
      <c r="AE68" s="180">
        <f t="shared" si="117"/>
        <v>0</v>
      </c>
      <c r="AF68" s="181">
        <f t="shared" si="118"/>
        <v>0</v>
      </c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</row>
    <row r="69" spans="2:46" ht="30" customHeight="1" x14ac:dyDescent="0.75">
      <c r="B69" s="141"/>
      <c r="C69" s="142" t="s">
        <v>128</v>
      </c>
      <c r="D69" s="251"/>
      <c r="E69" s="330"/>
      <c r="F69" s="251"/>
      <c r="G69" s="253" t="s">
        <v>130</v>
      </c>
      <c r="H69" s="280">
        <v>71</v>
      </c>
      <c r="I69" s="253">
        <f t="shared" si="147"/>
        <v>71</v>
      </c>
      <c r="J69" s="280">
        <v>75</v>
      </c>
      <c r="K69" s="254"/>
      <c r="L69" s="253">
        <f t="shared" si="148"/>
        <v>75</v>
      </c>
      <c r="M69" s="178" t="s">
        <v>133</v>
      </c>
      <c r="N69" s="179">
        <v>0</v>
      </c>
      <c r="O69" s="178" t="s">
        <v>133</v>
      </c>
      <c r="P69" s="182">
        <v>0</v>
      </c>
      <c r="Q69" s="180" t="s">
        <v>133</v>
      </c>
      <c r="R69" s="181">
        <f t="shared" si="112"/>
        <v>0</v>
      </c>
      <c r="S69" s="344">
        <v>56</v>
      </c>
      <c r="T69" s="178" t="s">
        <v>133</v>
      </c>
      <c r="U69" s="179">
        <v>0</v>
      </c>
      <c r="V69" s="178" t="s">
        <v>133</v>
      </c>
      <c r="W69" s="182">
        <v>0</v>
      </c>
      <c r="X69" s="180">
        <v>0</v>
      </c>
      <c r="Y69" s="181">
        <f t="shared" si="115"/>
        <v>0</v>
      </c>
      <c r="Z69" s="304">
        <f t="shared" si="146"/>
        <v>56</v>
      </c>
      <c r="AA69" s="178" t="s">
        <v>133</v>
      </c>
      <c r="AB69" s="179">
        <v>0</v>
      </c>
      <c r="AC69" s="178" t="s">
        <v>133</v>
      </c>
      <c r="AD69" s="182">
        <v>0</v>
      </c>
      <c r="AE69" s="180">
        <v>0</v>
      </c>
      <c r="AF69" s="181">
        <f t="shared" si="118"/>
        <v>0</v>
      </c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</row>
    <row r="70" spans="2:46" ht="30" customHeight="1" x14ac:dyDescent="0.75">
      <c r="B70" s="141"/>
      <c r="C70" s="157" t="s">
        <v>212</v>
      </c>
      <c r="D70" s="264"/>
      <c r="E70" s="331"/>
      <c r="F70" s="264"/>
      <c r="G70" s="265"/>
      <c r="H70" s="265"/>
      <c r="I70" s="265"/>
      <c r="J70" s="265"/>
      <c r="K70" s="266"/>
      <c r="L70" s="265"/>
      <c r="M70" s="201"/>
      <c r="N70" s="202">
        <f t="shared" si="109"/>
        <v>0</v>
      </c>
      <c r="O70" s="201"/>
      <c r="P70" s="203">
        <f t="shared" si="110"/>
        <v>0</v>
      </c>
      <c r="Q70" s="189">
        <f t="shared" si="111"/>
        <v>0</v>
      </c>
      <c r="R70" s="190">
        <f t="shared" si="112"/>
        <v>0</v>
      </c>
      <c r="S70" s="305">
        <f t="shared" si="145"/>
        <v>0</v>
      </c>
      <c r="T70" s="201"/>
      <c r="U70" s="202">
        <f t="shared" si="113"/>
        <v>0</v>
      </c>
      <c r="V70" s="201"/>
      <c r="W70" s="203">
        <f t="shared" si="141"/>
        <v>0</v>
      </c>
      <c r="X70" s="191">
        <f t="shared" si="114"/>
        <v>0</v>
      </c>
      <c r="Y70" s="192">
        <f t="shared" si="115"/>
        <v>0</v>
      </c>
      <c r="Z70" s="305">
        <f t="shared" si="146"/>
        <v>0</v>
      </c>
      <c r="AA70" s="201"/>
      <c r="AB70" s="202">
        <f t="shared" si="142"/>
        <v>0</v>
      </c>
      <c r="AC70" s="201"/>
      <c r="AD70" s="203">
        <f t="shared" si="143"/>
        <v>0</v>
      </c>
      <c r="AE70" s="191">
        <f t="shared" si="117"/>
        <v>0</v>
      </c>
      <c r="AF70" s="192">
        <f t="shared" si="118"/>
        <v>0</v>
      </c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</row>
    <row r="71" spans="2:46" ht="30" customHeight="1" x14ac:dyDescent="0.75">
      <c r="B71" s="139" t="s">
        <v>13</v>
      </c>
      <c r="C71" s="158" t="s">
        <v>14</v>
      </c>
      <c r="D71" s="293"/>
      <c r="E71" s="332"/>
      <c r="F71" s="293"/>
      <c r="G71" s="294">
        <v>297</v>
      </c>
      <c r="H71" s="294">
        <f t="shared" ref="H71:H75" si="149">G71</f>
        <v>297</v>
      </c>
      <c r="I71" s="296">
        <v>234</v>
      </c>
      <c r="J71" s="294">
        <f t="shared" ref="J71:J75" si="150">I71</f>
        <v>234</v>
      </c>
      <c r="K71" s="295"/>
      <c r="L71" s="294">
        <f t="shared" ref="L71:L75" si="151">J71</f>
        <v>234</v>
      </c>
      <c r="M71" s="233"/>
      <c r="N71" s="234">
        <f t="shared" si="109"/>
        <v>0</v>
      </c>
      <c r="O71" s="233"/>
      <c r="P71" s="234">
        <f t="shared" si="110"/>
        <v>0</v>
      </c>
      <c r="Q71" s="176">
        <f t="shared" si="111"/>
        <v>0</v>
      </c>
      <c r="R71" s="177">
        <f t="shared" si="112"/>
        <v>0</v>
      </c>
      <c r="S71" s="309">
        <f>L71</f>
        <v>234</v>
      </c>
      <c r="T71" s="233"/>
      <c r="U71" s="234">
        <f t="shared" si="113"/>
        <v>0</v>
      </c>
      <c r="V71" s="233"/>
      <c r="W71" s="235">
        <f t="shared" si="141"/>
        <v>0</v>
      </c>
      <c r="X71" s="176">
        <f t="shared" si="114"/>
        <v>0</v>
      </c>
      <c r="Y71" s="177">
        <f t="shared" si="115"/>
        <v>0</v>
      </c>
      <c r="Z71" s="309">
        <f>S71</f>
        <v>234</v>
      </c>
      <c r="AA71" s="233"/>
      <c r="AB71" s="234">
        <f t="shared" si="142"/>
        <v>0</v>
      </c>
      <c r="AC71" s="233"/>
      <c r="AD71" s="235">
        <f t="shared" si="143"/>
        <v>0</v>
      </c>
      <c r="AE71" s="176">
        <f t="shared" si="117"/>
        <v>0</v>
      </c>
      <c r="AF71" s="177">
        <f t="shared" si="118"/>
        <v>0</v>
      </c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116"/>
      <c r="AT71" s="116"/>
    </row>
    <row r="72" spans="2:46" ht="30" customHeight="1" x14ac:dyDescent="0.75">
      <c r="C72" s="155" t="s">
        <v>15</v>
      </c>
      <c r="D72" s="284"/>
      <c r="E72" s="326"/>
      <c r="F72" s="284"/>
      <c r="G72" s="285">
        <v>200</v>
      </c>
      <c r="H72" s="285">
        <f t="shared" si="149"/>
        <v>200</v>
      </c>
      <c r="I72" s="286">
        <v>172</v>
      </c>
      <c r="J72" s="285">
        <f t="shared" si="150"/>
        <v>172</v>
      </c>
      <c r="K72" s="287"/>
      <c r="L72" s="285">
        <f t="shared" si="151"/>
        <v>172</v>
      </c>
      <c r="M72" s="225"/>
      <c r="N72" s="226">
        <f t="shared" si="109"/>
        <v>0</v>
      </c>
      <c r="O72" s="225"/>
      <c r="P72" s="226">
        <f t="shared" si="110"/>
        <v>0</v>
      </c>
      <c r="Q72" s="180">
        <f t="shared" si="111"/>
        <v>0</v>
      </c>
      <c r="R72" s="181">
        <f t="shared" si="112"/>
        <v>0</v>
      </c>
      <c r="S72" s="308">
        <f>L72</f>
        <v>172</v>
      </c>
      <c r="T72" s="225"/>
      <c r="U72" s="226">
        <f t="shared" si="113"/>
        <v>0</v>
      </c>
      <c r="V72" s="225"/>
      <c r="W72" s="229">
        <f t="shared" si="141"/>
        <v>0</v>
      </c>
      <c r="X72" s="180">
        <f t="shared" si="114"/>
        <v>0</v>
      </c>
      <c r="Y72" s="181">
        <f t="shared" si="115"/>
        <v>0</v>
      </c>
      <c r="Z72" s="308">
        <f>S72</f>
        <v>172</v>
      </c>
      <c r="AA72" s="225"/>
      <c r="AB72" s="226">
        <f t="shared" si="142"/>
        <v>0</v>
      </c>
      <c r="AC72" s="225"/>
      <c r="AD72" s="229">
        <f t="shared" si="143"/>
        <v>0</v>
      </c>
      <c r="AE72" s="180">
        <f t="shared" si="117"/>
        <v>0</v>
      </c>
      <c r="AF72" s="181">
        <f t="shared" si="118"/>
        <v>0</v>
      </c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116"/>
      <c r="AT72" s="116"/>
    </row>
    <row r="73" spans="2:46" ht="30" customHeight="1" x14ac:dyDescent="0.75">
      <c r="B73" s="144"/>
      <c r="C73" s="156" t="s">
        <v>16</v>
      </c>
      <c r="D73" s="259"/>
      <c r="E73" s="327"/>
      <c r="F73" s="259"/>
      <c r="G73" s="260">
        <v>147</v>
      </c>
      <c r="H73" s="260">
        <f t="shared" si="149"/>
        <v>147</v>
      </c>
      <c r="I73" s="262">
        <v>157</v>
      </c>
      <c r="J73" s="260">
        <f t="shared" si="150"/>
        <v>157</v>
      </c>
      <c r="K73" s="261"/>
      <c r="L73" s="260">
        <f t="shared" si="151"/>
        <v>157</v>
      </c>
      <c r="M73" s="186"/>
      <c r="N73" s="187">
        <f t="shared" si="109"/>
        <v>0</v>
      </c>
      <c r="O73" s="186"/>
      <c r="P73" s="187">
        <f t="shared" si="110"/>
        <v>0</v>
      </c>
      <c r="Q73" s="189">
        <f t="shared" si="111"/>
        <v>0</v>
      </c>
      <c r="R73" s="190">
        <f t="shared" si="112"/>
        <v>0</v>
      </c>
      <c r="S73" s="310">
        <f>L73</f>
        <v>157</v>
      </c>
      <c r="T73" s="186"/>
      <c r="U73" s="187">
        <f t="shared" si="113"/>
        <v>0</v>
      </c>
      <c r="V73" s="186"/>
      <c r="W73" s="188">
        <f t="shared" si="141"/>
        <v>0</v>
      </c>
      <c r="X73" s="191">
        <f t="shared" si="114"/>
        <v>0</v>
      </c>
      <c r="Y73" s="192">
        <f t="shared" si="115"/>
        <v>0</v>
      </c>
      <c r="Z73" s="310">
        <f>S73</f>
        <v>157</v>
      </c>
      <c r="AA73" s="186"/>
      <c r="AB73" s="187">
        <f t="shared" si="142"/>
        <v>0</v>
      </c>
      <c r="AC73" s="186"/>
      <c r="AD73" s="188">
        <f t="shared" si="143"/>
        <v>0</v>
      </c>
      <c r="AE73" s="191">
        <f t="shared" si="117"/>
        <v>0</v>
      </c>
      <c r="AF73" s="192">
        <f t="shared" si="118"/>
        <v>0</v>
      </c>
      <c r="AG73" s="116"/>
      <c r="AH73" s="116"/>
      <c r="AI73" s="116"/>
      <c r="AJ73" s="116"/>
      <c r="AK73" s="116"/>
      <c r="AL73" s="116"/>
      <c r="AM73" s="116"/>
      <c r="AN73" s="116"/>
      <c r="AO73" s="116"/>
      <c r="AP73" s="116"/>
      <c r="AQ73" s="116"/>
      <c r="AR73" s="116"/>
      <c r="AS73" s="116"/>
      <c r="AT73" s="116"/>
    </row>
    <row r="74" spans="2:46" ht="85.5" x14ac:dyDescent="0.75">
      <c r="B74" s="139" t="s">
        <v>149</v>
      </c>
      <c r="C74" s="145" t="s">
        <v>92</v>
      </c>
      <c r="D74" s="275"/>
      <c r="E74" s="333"/>
      <c r="F74" s="275"/>
      <c r="G74" s="276">
        <v>0</v>
      </c>
      <c r="H74" s="276">
        <f t="shared" si="149"/>
        <v>0</v>
      </c>
      <c r="I74" s="276">
        <f>H74</f>
        <v>0</v>
      </c>
      <c r="J74" s="276">
        <f t="shared" si="150"/>
        <v>0</v>
      </c>
      <c r="K74" s="267"/>
      <c r="L74" s="276">
        <f t="shared" si="151"/>
        <v>0</v>
      </c>
      <c r="M74" s="217"/>
      <c r="N74" s="218">
        <f t="shared" si="109"/>
        <v>0</v>
      </c>
      <c r="O74" s="236"/>
      <c r="P74" s="218">
        <f t="shared" si="110"/>
        <v>0</v>
      </c>
      <c r="Q74" s="220">
        <f t="shared" ref="Q74" si="152">M74+O74</f>
        <v>0</v>
      </c>
      <c r="R74" s="221">
        <f t="shared" ref="R74" si="153">N74+P74</f>
        <v>0</v>
      </c>
      <c r="S74" s="311">
        <f t="shared" ref="S74:S75" si="154">L74</f>
        <v>0</v>
      </c>
      <c r="T74" s="217"/>
      <c r="U74" s="218">
        <f t="shared" si="113"/>
        <v>0</v>
      </c>
      <c r="V74" s="217"/>
      <c r="W74" s="219">
        <f t="shared" si="141"/>
        <v>0</v>
      </c>
      <c r="X74" s="220">
        <f t="shared" ref="X74" si="155">T74+V74</f>
        <v>0</v>
      </c>
      <c r="Y74" s="221">
        <f t="shared" ref="Y74" si="156">U74+W74</f>
        <v>0</v>
      </c>
      <c r="Z74" s="311">
        <f t="shared" si="146"/>
        <v>0</v>
      </c>
      <c r="AA74" s="217"/>
      <c r="AB74" s="218">
        <f t="shared" si="142"/>
        <v>0</v>
      </c>
      <c r="AC74" s="217"/>
      <c r="AD74" s="219">
        <f t="shared" si="143"/>
        <v>0</v>
      </c>
      <c r="AE74" s="220">
        <f t="shared" ref="AE74" si="157">AA74+AC74</f>
        <v>0</v>
      </c>
      <c r="AF74" s="221">
        <f t="shared" ref="AF74" si="158">AB74+AD74</f>
        <v>0</v>
      </c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116"/>
      <c r="AT74" s="116"/>
    </row>
    <row r="75" spans="2:46" ht="29.25" thickBot="1" x14ac:dyDescent="0.9">
      <c r="B75" s="159"/>
      <c r="C75" s="160" t="s">
        <v>92</v>
      </c>
      <c r="D75" s="297"/>
      <c r="E75" s="334"/>
      <c r="F75" s="297"/>
      <c r="G75" s="298">
        <v>0</v>
      </c>
      <c r="H75" s="298">
        <f t="shared" si="149"/>
        <v>0</v>
      </c>
      <c r="I75" s="298">
        <f>H75</f>
        <v>0</v>
      </c>
      <c r="J75" s="298">
        <f t="shared" si="150"/>
        <v>0</v>
      </c>
      <c r="K75" s="299"/>
      <c r="L75" s="298">
        <f t="shared" si="151"/>
        <v>0</v>
      </c>
      <c r="M75" s="237"/>
      <c r="N75" s="238">
        <f t="shared" si="109"/>
        <v>0</v>
      </c>
      <c r="O75" s="239"/>
      <c r="P75" s="238">
        <f t="shared" si="110"/>
        <v>0</v>
      </c>
      <c r="Q75" s="207">
        <f t="shared" ref="Q75" si="159">M75+O75</f>
        <v>0</v>
      </c>
      <c r="R75" s="208">
        <f t="shared" ref="R75" si="160">N75+P75</f>
        <v>0</v>
      </c>
      <c r="S75" s="312">
        <f t="shared" si="154"/>
        <v>0</v>
      </c>
      <c r="T75" s="237"/>
      <c r="U75" s="238">
        <f t="shared" si="113"/>
        <v>0</v>
      </c>
      <c r="V75" s="237"/>
      <c r="W75" s="240">
        <f t="shared" si="141"/>
        <v>0</v>
      </c>
      <c r="X75" s="207">
        <f t="shared" ref="X75" si="161">T75+V75</f>
        <v>0</v>
      </c>
      <c r="Y75" s="208">
        <f t="shared" ref="Y75" si="162">U75+W75</f>
        <v>0</v>
      </c>
      <c r="Z75" s="312">
        <f t="shared" si="146"/>
        <v>0</v>
      </c>
      <c r="AA75" s="237"/>
      <c r="AB75" s="238">
        <f t="shared" si="142"/>
        <v>0</v>
      </c>
      <c r="AC75" s="237"/>
      <c r="AD75" s="240">
        <f t="shared" si="143"/>
        <v>0</v>
      </c>
      <c r="AE75" s="207">
        <f t="shared" ref="AE75" si="163">AA75+AC75</f>
        <v>0</v>
      </c>
      <c r="AF75" s="208">
        <f t="shared" ref="AF75" si="164">AB75+AD75</f>
        <v>0</v>
      </c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</row>
    <row r="76" spans="2:46" ht="15" thickTop="1" x14ac:dyDescent="0.75">
      <c r="D76" s="136"/>
      <c r="F76" s="136"/>
      <c r="K76" s="136"/>
    </row>
    <row r="77" spans="2:46" x14ac:dyDescent="0.75">
      <c r="D77" s="136"/>
      <c r="F77" s="136"/>
      <c r="K77" s="136"/>
    </row>
    <row r="78" spans="2:46" x14ac:dyDescent="0.75">
      <c r="D78" s="161"/>
      <c r="F78" s="161"/>
      <c r="K78" s="161"/>
    </row>
    <row r="79" spans="2:46" x14ac:dyDescent="0.75"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116"/>
      <c r="AT79" s="116"/>
    </row>
    <row r="80" spans="2:46" x14ac:dyDescent="0.75">
      <c r="M80" s="116"/>
    </row>
  </sheetData>
  <mergeCells count="1">
    <mergeCell ref="B1:C1"/>
  </mergeCells>
  <phoneticPr fontId="2" type="noConversion"/>
  <pageMargins left="0.57999999999999996" right="0.56000000000000005" top="0.75" bottom="0.75" header="0.3" footer="0.3"/>
  <pageSetup paperSize="9" scale="47" fitToHeight="0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  <pageSetUpPr fitToPage="1"/>
  </sheetPr>
  <dimension ref="A1:Q39"/>
  <sheetViews>
    <sheetView zoomScale="120" zoomScaleNormal="120" zoomScalePageLayoutView="130" workbookViewId="0">
      <selection activeCell="E8" sqref="E8"/>
    </sheetView>
  </sheetViews>
  <sheetFormatPr defaultColWidth="8.86328125" defaultRowHeight="14.15" customHeight="1" x14ac:dyDescent="0.65"/>
  <cols>
    <col min="1" max="1" width="1.26953125" style="59" customWidth="1"/>
    <col min="2" max="2" width="1.7265625" style="59" customWidth="1"/>
    <col min="3" max="3" width="10.86328125" style="59" customWidth="1"/>
    <col min="4" max="4" width="1.86328125" style="59" customWidth="1"/>
    <col min="5" max="5" width="20.7265625" style="59" customWidth="1"/>
    <col min="6" max="6" width="8" style="62" customWidth="1"/>
    <col min="7" max="7" width="8" style="59" customWidth="1"/>
    <col min="8" max="8" width="11.7265625" style="62" customWidth="1"/>
    <col min="9" max="26" width="7.40625" style="59" customWidth="1"/>
    <col min="27" max="16384" width="8.86328125" style="59"/>
  </cols>
  <sheetData>
    <row r="1" spans="1:15" s="55" customFormat="1" ht="14.15" customHeight="1" x14ac:dyDescent="0.75">
      <c r="F1" s="56"/>
      <c r="H1" s="57"/>
    </row>
    <row r="2" spans="1:15" s="55" customFormat="1" ht="14.15" customHeight="1" x14ac:dyDescent="0.75">
      <c r="B2" s="65" t="s">
        <v>24</v>
      </c>
      <c r="F2" s="56"/>
      <c r="H2" s="372" t="s">
        <v>119</v>
      </c>
      <c r="I2" s="373"/>
      <c r="K2" s="99" t="str" cm="1">
        <f t="array" aca="1" ref="K2" ca="1">MID(CELL("filename",$A$1),SEARCH("]", CELL("filename",$A$1))+1,999)</f>
        <v>2025 project</v>
      </c>
      <c r="L2" s="50"/>
      <c r="M2" s="50"/>
    </row>
    <row r="3" spans="1:15" s="55" customFormat="1" ht="14.15" customHeight="1" x14ac:dyDescent="0.75">
      <c r="F3" s="56"/>
      <c r="G3" s="58"/>
      <c r="H3" s="57"/>
      <c r="K3" s="165" t="s">
        <v>163</v>
      </c>
    </row>
    <row r="4" spans="1:15" s="55" customFormat="1" ht="14.15" customHeight="1" x14ac:dyDescent="0.75">
      <c r="F4" s="56"/>
      <c r="H4" s="57"/>
    </row>
    <row r="6" spans="1:15" ht="14.15" customHeight="1" x14ac:dyDescent="0.7">
      <c r="B6" s="60" t="s">
        <v>5</v>
      </c>
      <c r="C6" s="61"/>
      <c r="D6" s="61"/>
      <c r="E6" s="61" t="str">
        <f>'2025'!E6</f>
        <v>Vreugdenhil Berging</v>
      </c>
      <c r="G6" s="63"/>
      <c r="O6" s="64" t="s">
        <v>4</v>
      </c>
    </row>
    <row r="7" spans="1:15" ht="14.15" customHeight="1" x14ac:dyDescent="0.65">
      <c r="B7" s="61" t="s">
        <v>6</v>
      </c>
      <c r="C7" s="61"/>
      <c r="D7" s="61"/>
      <c r="E7" s="164">
        <f>'2024 H1'!E7</f>
        <v>27183387</v>
      </c>
      <c r="F7" s="66"/>
    </row>
    <row r="8" spans="1:15" ht="14.15" customHeight="1" x14ac:dyDescent="0.65">
      <c r="B8" s="61" t="s">
        <v>11</v>
      </c>
      <c r="C8" s="61"/>
      <c r="D8" s="61"/>
      <c r="E8" s="65" t="s">
        <v>179</v>
      </c>
    </row>
    <row r="10" spans="1:15" ht="14.15" customHeight="1" x14ac:dyDescent="0.65">
      <c r="A10" s="67"/>
      <c r="B10" s="67"/>
      <c r="C10" s="67"/>
      <c r="D10" s="67"/>
      <c r="E10" s="67"/>
      <c r="F10" s="67"/>
      <c r="G10" s="67"/>
      <c r="H10" s="68"/>
    </row>
    <row r="11" spans="1:15" s="71" customFormat="1" ht="14.15" customHeight="1" x14ac:dyDescent="0.65">
      <c r="A11" s="69"/>
      <c r="B11" s="69"/>
      <c r="C11" s="69"/>
      <c r="D11" s="69"/>
      <c r="E11" s="69"/>
      <c r="F11" s="375" t="s">
        <v>120</v>
      </c>
      <c r="G11" s="375"/>
      <c r="H11" s="70" t="s">
        <v>7</v>
      </c>
    </row>
    <row r="12" spans="1:15" s="77" customFormat="1" ht="14.15" customHeight="1" x14ac:dyDescent="0.65">
      <c r="A12" s="72"/>
      <c r="B12" s="72" t="s">
        <v>1</v>
      </c>
      <c r="C12" s="72"/>
      <c r="D12" s="72"/>
      <c r="E12" s="73"/>
      <c r="F12" s="74"/>
      <c r="G12" s="75">
        <f>SUM(F13:F18)</f>
        <v>58.918410100000003</v>
      </c>
      <c r="H12" s="76">
        <f>G12/F30</f>
        <v>1</v>
      </c>
    </row>
    <row r="13" spans="1:15" ht="14.15" customHeight="1" x14ac:dyDescent="0.65">
      <c r="A13" s="67"/>
      <c r="B13" s="67"/>
      <c r="C13" s="67" t="s">
        <v>155</v>
      </c>
      <c r="D13" s="67"/>
      <c r="E13" s="67"/>
      <c r="F13" s="78">
        <f>Sleutels!G21*('A Inzicht'!Y7+'A Inzicht'!Y8+'A Inzicht'!Y9+'A Inzicht'!Y10+'A Inzicht'!Y11+'A Inzicht'!Y12+'A Inzicht'!Y13)</f>
        <v>0</v>
      </c>
      <c r="G13" s="67"/>
      <c r="H13" s="79">
        <f>F13/F30</f>
        <v>0</v>
      </c>
    </row>
    <row r="14" spans="1:15" ht="14.15" customHeight="1" x14ac:dyDescent="0.65">
      <c r="A14" s="67"/>
      <c r="B14" s="67"/>
      <c r="C14" s="67" t="s">
        <v>154</v>
      </c>
      <c r="D14" s="67"/>
      <c r="E14" s="67"/>
      <c r="F14" s="78">
        <f>Sleutels!G21*('A Inzicht'!Y14+'A Inzicht'!Y15+'A Inzicht'!Y16+'A Inzicht'!Y17+'A Inzicht'!Y18+'A Inzicht'!Y19+'A Inzicht'!Y20)</f>
        <v>58.918410100000003</v>
      </c>
      <c r="G14" s="67"/>
      <c r="H14" s="79">
        <f>F14/F30</f>
        <v>1</v>
      </c>
    </row>
    <row r="15" spans="1:15" ht="14.15" customHeight="1" x14ac:dyDescent="0.65">
      <c r="A15" s="67"/>
      <c r="B15" s="67"/>
      <c r="C15" s="67" t="s">
        <v>48</v>
      </c>
      <c r="D15" s="67"/>
      <c r="E15" s="67"/>
      <c r="F15" s="78">
        <f>Sleutels!G21*('A Inzicht'!Y21+'A Inzicht'!Y22+'A Inzicht'!Y23)</f>
        <v>0</v>
      </c>
      <c r="G15" s="67"/>
      <c r="H15" s="79">
        <f>F15/F30</f>
        <v>0</v>
      </c>
    </row>
    <row r="16" spans="1:15" ht="14.15" customHeight="1" x14ac:dyDescent="0.65">
      <c r="A16" s="67"/>
      <c r="B16" s="67"/>
      <c r="C16" s="67" t="s">
        <v>8</v>
      </c>
      <c r="D16" s="67"/>
      <c r="E16" s="67"/>
      <c r="F16" s="80">
        <f>Sleutels!G21*('A Inzicht'!Y24+'A Inzicht'!Y25+'A Inzicht'!Y26+'A Inzicht'!Y27+'A Inzicht'!Y28+'A Inzicht'!Y29+'A Inzicht'!Y30)</f>
        <v>0</v>
      </c>
      <c r="G16" s="67"/>
      <c r="H16" s="79">
        <f>F16/F30</f>
        <v>0</v>
      </c>
    </row>
    <row r="17" spans="1:17" ht="14.15" customHeight="1" x14ac:dyDescent="0.65">
      <c r="A17" s="67"/>
      <c r="B17" s="67"/>
      <c r="C17" s="67" t="s">
        <v>143</v>
      </c>
      <c r="D17" s="67"/>
      <c r="E17" s="67"/>
      <c r="F17" s="80">
        <f>Sleutels!G21*('A Inzicht'!Y31+'A Inzicht'!Y32+'A Inzicht'!Y33)</f>
        <v>0</v>
      </c>
      <c r="G17" s="67"/>
      <c r="H17" s="79">
        <f>F17/F30</f>
        <v>0</v>
      </c>
    </row>
    <row r="18" spans="1:17" ht="14.15" customHeight="1" x14ac:dyDescent="0.65">
      <c r="A18" s="67"/>
      <c r="B18" s="67"/>
      <c r="C18" s="67"/>
      <c r="D18" s="67"/>
      <c r="E18" s="67"/>
      <c r="F18" s="68"/>
      <c r="G18" s="67"/>
      <c r="H18" s="79"/>
    </row>
    <row r="19" spans="1:17" s="77" customFormat="1" ht="14.15" customHeight="1" x14ac:dyDescent="0.65">
      <c r="A19" s="72"/>
      <c r="B19" s="72" t="s">
        <v>0</v>
      </c>
      <c r="C19" s="72"/>
      <c r="D19" s="72"/>
      <c r="E19" s="73"/>
      <c r="F19" s="74"/>
      <c r="G19" s="75">
        <f>SUM(F20:F23)</f>
        <v>0</v>
      </c>
      <c r="H19" s="76">
        <f>G19/F30</f>
        <v>0</v>
      </c>
    </row>
    <row r="20" spans="1:17" ht="14.15" customHeight="1" x14ac:dyDescent="0.65">
      <c r="A20" s="67"/>
      <c r="B20" s="67"/>
      <c r="C20" s="67" t="s">
        <v>60</v>
      </c>
      <c r="D20" s="67"/>
      <c r="E20" s="67"/>
      <c r="F20" s="80">
        <f>Sleutels!G21*('A Inzicht'!Y36+'A Inzicht'!Y37+'A Inzicht'!Y38+'A Inzicht'!Y39)</f>
        <v>0</v>
      </c>
      <c r="G20" s="67"/>
      <c r="H20" s="79">
        <f>F20/F30</f>
        <v>0</v>
      </c>
    </row>
    <row r="21" spans="1:17" ht="14.15" customHeight="1" x14ac:dyDescent="0.65">
      <c r="A21" s="67"/>
      <c r="B21" s="67"/>
      <c r="C21" s="67" t="s">
        <v>79</v>
      </c>
      <c r="D21" s="67"/>
      <c r="E21" s="67"/>
      <c r="F21" s="80">
        <f>Sleutels!G21*('A Inzicht'!Y40+'A Inzicht'!Y41+'A Inzicht'!Y42)</f>
        <v>0</v>
      </c>
      <c r="G21" s="67"/>
      <c r="H21" s="79">
        <f>F21/F30</f>
        <v>0</v>
      </c>
    </row>
    <row r="22" spans="1:17" ht="14.15" customHeight="1" x14ac:dyDescent="0.65">
      <c r="A22" s="67"/>
      <c r="B22" s="67"/>
      <c r="C22" s="67" t="s">
        <v>59</v>
      </c>
      <c r="D22" s="67"/>
      <c r="E22" s="67"/>
      <c r="F22" s="80">
        <f>Sleutels!G21*('A Inzicht'!Y43+'A Inzicht'!Y44+'A Inzicht'!Y45+'A Inzicht'!Y46+'A Inzicht'!Y47+'A Inzicht'!Y48)</f>
        <v>0</v>
      </c>
      <c r="G22" s="67"/>
      <c r="H22" s="79">
        <f>F22/F30</f>
        <v>0</v>
      </c>
    </row>
    <row r="23" spans="1:17" ht="14.15" customHeight="1" x14ac:dyDescent="0.65">
      <c r="A23" s="67"/>
      <c r="B23" s="67"/>
      <c r="C23" s="67"/>
      <c r="D23" s="67"/>
      <c r="E23" s="67"/>
      <c r="F23" s="68"/>
      <c r="G23" s="67"/>
      <c r="H23" s="79"/>
    </row>
    <row r="24" spans="1:17" ht="14.15" customHeight="1" x14ac:dyDescent="0.65">
      <c r="A24" s="67"/>
      <c r="B24" s="72" t="s">
        <v>93</v>
      </c>
      <c r="C24" s="67"/>
      <c r="D24" s="67"/>
      <c r="E24" s="67"/>
      <c r="F24" s="68"/>
      <c r="G24" s="75">
        <f>SUM(F25:F29)</f>
        <v>0</v>
      </c>
      <c r="H24" s="76">
        <f>G24/F30</f>
        <v>0</v>
      </c>
    </row>
    <row r="25" spans="1:17" ht="14.15" customHeight="1" x14ac:dyDescent="0.65">
      <c r="A25" s="67"/>
      <c r="B25" s="67"/>
      <c r="C25" s="67" t="s">
        <v>25</v>
      </c>
      <c r="D25" s="67"/>
      <c r="E25" s="67"/>
      <c r="F25" s="80">
        <f>Sleutels!G21*('A Inzicht'!Y51+'A Inzicht'!Y52+'A Inzicht'!Y53+'A Inzicht'!Y54+'A Inzicht'!Y55+'A Inzicht'!Y56+'A Inzicht'!Y57+'A Inzicht'!Y58+'A Inzicht'!Y59+'A Inzicht'!Y60+'A Inzicht'!Y61)</f>
        <v>0</v>
      </c>
      <c r="G25" s="67"/>
      <c r="H25" s="79">
        <f>F25/F30</f>
        <v>0</v>
      </c>
    </row>
    <row r="26" spans="1:17" ht="14.15" customHeight="1" x14ac:dyDescent="0.65">
      <c r="A26" s="67"/>
      <c r="B26" s="67"/>
      <c r="C26" s="67" t="s">
        <v>27</v>
      </c>
      <c r="D26" s="67"/>
      <c r="E26" s="67"/>
      <c r="F26" s="80">
        <f>Sleutels!G21*('A Inzicht'!Y62+'A Inzicht'!Y63+'A Inzicht'!Y64+'A Inzicht'!Y65+'A Inzicht'!Y67+'A Inzicht'!Y68+'A Inzicht'!Y69+'A Inzicht'!Y70)</f>
        <v>0</v>
      </c>
      <c r="G26" s="67"/>
      <c r="H26" s="79">
        <f>F26/F30</f>
        <v>0</v>
      </c>
      <c r="Q26" s="81"/>
    </row>
    <row r="27" spans="1:17" ht="14.15" customHeight="1" x14ac:dyDescent="0.65">
      <c r="A27" s="67"/>
      <c r="B27" s="67"/>
      <c r="C27" s="67" t="s">
        <v>13</v>
      </c>
      <c r="D27" s="67"/>
      <c r="E27" s="67"/>
      <c r="F27" s="80">
        <f>Sleutels!G21*('A Inzicht'!Y71+'A Inzicht'!Y72+'A Inzicht'!Y73)</f>
        <v>0</v>
      </c>
      <c r="G27" s="67"/>
      <c r="H27" s="79">
        <f>F27/F30</f>
        <v>0</v>
      </c>
    </row>
    <row r="28" spans="1:17" ht="14.15" customHeight="1" x14ac:dyDescent="0.65">
      <c r="A28" s="67"/>
      <c r="B28" s="67"/>
      <c r="C28" s="67" t="s">
        <v>30</v>
      </c>
      <c r="D28" s="67"/>
      <c r="E28" s="67"/>
      <c r="F28" s="80">
        <f>Sleutels!G21*('A Inzicht'!Y74+'A Inzicht'!Y75)</f>
        <v>0</v>
      </c>
      <c r="G28" s="67"/>
      <c r="H28" s="79">
        <f>F28/F30</f>
        <v>0</v>
      </c>
      <c r="Q28" s="81"/>
    </row>
    <row r="29" spans="1:17" ht="14.15" customHeight="1" x14ac:dyDescent="0.65">
      <c r="A29" s="67"/>
      <c r="B29" s="67"/>
      <c r="C29" s="67"/>
      <c r="D29" s="67"/>
      <c r="E29" s="67"/>
      <c r="F29" s="68"/>
      <c r="G29" s="67"/>
      <c r="H29" s="79"/>
    </row>
    <row r="30" spans="1:17" ht="14.15" customHeight="1" x14ac:dyDescent="0.65">
      <c r="A30" s="67"/>
      <c r="B30" s="67"/>
      <c r="C30" s="67"/>
      <c r="D30" s="67"/>
      <c r="E30" s="73" t="s">
        <v>20</v>
      </c>
      <c r="F30" s="82">
        <f>G12+G19+G24</f>
        <v>58.918410100000003</v>
      </c>
      <c r="G30" s="72" t="s">
        <v>120</v>
      </c>
      <c r="H30" s="79"/>
    </row>
    <row r="31" spans="1:17" ht="14.15" customHeight="1" x14ac:dyDescent="0.65">
      <c r="A31" s="67"/>
      <c r="B31" s="67"/>
      <c r="C31" s="67"/>
      <c r="D31" s="67"/>
      <c r="E31" s="67"/>
      <c r="F31" s="68"/>
      <c r="G31" s="67"/>
      <c r="H31" s="79"/>
    </row>
    <row r="33" spans="1:8" ht="14.15" customHeight="1" x14ac:dyDescent="0.65">
      <c r="A33" s="59" t="s">
        <v>21</v>
      </c>
      <c r="D33" s="59" t="s">
        <v>135</v>
      </c>
      <c r="F33" s="59"/>
      <c r="G33" s="93">
        <f>G12/Sleutels!J6</f>
        <v>26.781095499999999</v>
      </c>
      <c r="H33" s="66" t="s">
        <v>120</v>
      </c>
    </row>
    <row r="34" spans="1:8" ht="14.15" customHeight="1" x14ac:dyDescent="0.65">
      <c r="D34" s="59" t="s">
        <v>121</v>
      </c>
      <c r="F34" s="59"/>
      <c r="G34" s="93">
        <f>G12/Sleutels!J7</f>
        <v>29.459205050000001</v>
      </c>
      <c r="H34" s="66" t="s">
        <v>120</v>
      </c>
    </row>
    <row r="35" spans="1:8" ht="14.15" customHeight="1" x14ac:dyDescent="0.65">
      <c r="A35" s="59" t="s">
        <v>137</v>
      </c>
    </row>
    <row r="36" spans="1:8" ht="14.15" customHeight="1" x14ac:dyDescent="0.65">
      <c r="D36" s="59" t="s">
        <v>135</v>
      </c>
      <c r="F36" s="59"/>
      <c r="G36" s="93">
        <f>(G19+G24)/Sleutels!J6</f>
        <v>0</v>
      </c>
      <c r="H36" s="66" t="s">
        <v>120</v>
      </c>
    </row>
    <row r="37" spans="1:8" ht="14.15" customHeight="1" x14ac:dyDescent="0.65">
      <c r="A37" s="84"/>
      <c r="D37" s="59" t="s">
        <v>121</v>
      </c>
      <c r="F37" s="59"/>
      <c r="G37" s="93">
        <f>(G19+G24)/Sleutels!J7</f>
        <v>0</v>
      </c>
      <c r="H37" s="66" t="s">
        <v>120</v>
      </c>
    </row>
    <row r="38" spans="1:8" ht="14.15" customHeight="1" x14ac:dyDescent="0.65">
      <c r="C38" s="84"/>
      <c r="E38" s="84"/>
      <c r="F38" s="84"/>
      <c r="G38" s="93"/>
      <c r="H38" s="66"/>
    </row>
    <row r="39" spans="1:8" ht="14.15" customHeight="1" x14ac:dyDescent="0.65">
      <c r="C39" s="85"/>
      <c r="D39" s="85"/>
    </row>
  </sheetData>
  <mergeCells count="2">
    <mergeCell ref="H2:I2"/>
    <mergeCell ref="F11:G11"/>
  </mergeCells>
  <pageMargins left="0.7" right="0.7" top="0.75" bottom="0.75" header="0.3" footer="0.3"/>
  <pageSetup paperSize="9" scale="80" orientation="landscape" horizontalDpi="4294967292" verticalDpi="429496729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091C2-776E-0B40-945E-2022133A847A}">
  <sheetPr>
    <tabColor rgb="FFFFFF00"/>
    <pageSetUpPr fitToPage="1"/>
  </sheetPr>
  <dimension ref="A1:Q39"/>
  <sheetViews>
    <sheetView zoomScale="120" zoomScaleNormal="120" zoomScalePageLayoutView="130" workbookViewId="0">
      <selection activeCell="E9" sqref="E9"/>
    </sheetView>
  </sheetViews>
  <sheetFormatPr defaultColWidth="8.86328125" defaultRowHeight="14.15" customHeight="1" x14ac:dyDescent="0.65"/>
  <cols>
    <col min="1" max="1" width="1.26953125" style="59" customWidth="1"/>
    <col min="2" max="2" width="1.7265625" style="59" customWidth="1"/>
    <col min="3" max="3" width="10.86328125" style="59" customWidth="1"/>
    <col min="4" max="4" width="1.86328125" style="59" customWidth="1"/>
    <col min="5" max="5" width="20.7265625" style="59" customWidth="1"/>
    <col min="6" max="6" width="8" style="62" customWidth="1"/>
    <col min="7" max="7" width="8" style="59" customWidth="1"/>
    <col min="8" max="8" width="11.7265625" style="62" customWidth="1"/>
    <col min="9" max="26" width="7.40625" style="59" customWidth="1"/>
    <col min="27" max="16384" width="8.86328125" style="59"/>
  </cols>
  <sheetData>
    <row r="1" spans="1:15" s="55" customFormat="1" ht="14.15" customHeight="1" x14ac:dyDescent="0.75">
      <c r="F1" s="56"/>
      <c r="H1" s="57"/>
    </row>
    <row r="2" spans="1:15" s="55" customFormat="1" ht="14.15" customHeight="1" x14ac:dyDescent="0.75">
      <c r="B2" s="94" t="s">
        <v>24</v>
      </c>
      <c r="F2" s="56"/>
      <c r="H2" s="372" t="s">
        <v>119</v>
      </c>
      <c r="I2" s="373"/>
      <c r="K2" s="374" t="str" cm="1">
        <f t="array" aca="1" ref="K2" ca="1">MID(CELL("filename",$A$1),SEARCH("]", CELL("filename",$A$1))+1,999)</f>
        <v>2026 H1</v>
      </c>
      <c r="L2" s="374"/>
      <c r="M2" s="374"/>
    </row>
    <row r="3" spans="1:15" s="55" customFormat="1" ht="14.15" customHeight="1" x14ac:dyDescent="0.75">
      <c r="F3" s="56"/>
      <c r="G3" s="58"/>
      <c r="H3" s="57"/>
    </row>
    <row r="4" spans="1:15" s="55" customFormat="1" ht="14.15" customHeight="1" x14ac:dyDescent="0.75">
      <c r="F4" s="56"/>
      <c r="H4" s="57"/>
    </row>
    <row r="6" spans="1:15" ht="14.15" customHeight="1" x14ac:dyDescent="0.7">
      <c r="B6" s="60" t="s">
        <v>5</v>
      </c>
      <c r="C6" s="61"/>
      <c r="D6" s="61"/>
      <c r="E6" s="61" t="str">
        <f>'2025 verdeling'!E6</f>
        <v>Vreugdenhil Berging</v>
      </c>
      <c r="F6" s="66"/>
      <c r="G6" s="63"/>
      <c r="O6" s="64" t="s">
        <v>4</v>
      </c>
    </row>
    <row r="7" spans="1:15" ht="14.15" customHeight="1" x14ac:dyDescent="0.65">
      <c r="B7" s="61" t="s">
        <v>6</v>
      </c>
      <c r="C7" s="61"/>
      <c r="D7" s="61"/>
      <c r="E7" s="164">
        <f>'2024 H1'!E7</f>
        <v>27183387</v>
      </c>
      <c r="F7" s="66"/>
      <c r="G7" s="81"/>
    </row>
    <row r="8" spans="1:15" ht="14.15" customHeight="1" x14ac:dyDescent="0.65">
      <c r="B8" s="61" t="s">
        <v>11</v>
      </c>
      <c r="C8" s="61"/>
      <c r="D8" s="61"/>
      <c r="E8" s="65" t="s">
        <v>179</v>
      </c>
      <c r="F8" s="66"/>
    </row>
    <row r="10" spans="1:15" ht="14.15" customHeight="1" x14ac:dyDescent="0.65">
      <c r="A10" s="67"/>
      <c r="B10" s="67"/>
      <c r="C10" s="67"/>
      <c r="D10" s="67"/>
      <c r="E10" s="67"/>
      <c r="F10" s="67"/>
      <c r="G10" s="67"/>
      <c r="H10" s="68"/>
    </row>
    <row r="11" spans="1:15" s="71" customFormat="1" ht="14.15" customHeight="1" x14ac:dyDescent="0.65">
      <c r="A11" s="69"/>
      <c r="B11" s="69"/>
      <c r="C11" s="69"/>
      <c r="D11" s="69"/>
      <c r="E11" s="69"/>
      <c r="F11" s="375" t="s">
        <v>120</v>
      </c>
      <c r="G11" s="375"/>
      <c r="H11" s="70" t="s">
        <v>7</v>
      </c>
    </row>
    <row r="12" spans="1:15" s="77" customFormat="1" ht="14.15" customHeight="1" x14ac:dyDescent="0.65">
      <c r="A12" s="72"/>
      <c r="B12" s="72" t="s">
        <v>1</v>
      </c>
      <c r="C12" s="72"/>
      <c r="D12" s="72"/>
      <c r="E12" s="73"/>
      <c r="F12" s="74"/>
      <c r="G12" s="75" t="e">
        <f>SUM(F13:F18)</f>
        <v>#VALUE!</v>
      </c>
      <c r="H12" s="76" t="e">
        <f>G12/F30</f>
        <v>#VALUE!</v>
      </c>
    </row>
    <row r="13" spans="1:15" ht="14.15" customHeight="1" x14ac:dyDescent="0.65">
      <c r="A13" s="67"/>
      <c r="B13" s="67"/>
      <c r="C13" s="67" t="s">
        <v>155</v>
      </c>
      <c r="D13" s="67"/>
      <c r="E13" s="67"/>
      <c r="F13" s="78">
        <f>'A Inzicht'!AB7+'A Inzicht'!AB8+'A Inzicht'!AB9+'A Inzicht'!AB10+'A Inzicht'!AB11+'A Inzicht'!AB12+'A Inzicht'!AB13</f>
        <v>0</v>
      </c>
      <c r="G13" s="67"/>
      <c r="H13" s="79" t="e">
        <f>F13/F30</f>
        <v>#VALUE!</v>
      </c>
    </row>
    <row r="14" spans="1:15" ht="14.15" customHeight="1" x14ac:dyDescent="0.65">
      <c r="A14" s="67"/>
      <c r="B14" s="67"/>
      <c r="C14" s="67" t="s">
        <v>154</v>
      </c>
      <c r="D14" s="67"/>
      <c r="E14" s="67"/>
      <c r="F14" s="78">
        <f>'A Inzicht'!AB14+'A Inzicht'!AB15+'A Inzicht'!AB16+'A Inzicht'!AB17+'A Inzicht'!AB18+'A Inzicht'!AB19+'A Inzicht'!AB20</f>
        <v>0</v>
      </c>
      <c r="G14" s="67"/>
      <c r="H14" s="79" t="e">
        <f>F14/F30</f>
        <v>#VALUE!</v>
      </c>
    </row>
    <row r="15" spans="1:15" ht="14.15" customHeight="1" x14ac:dyDescent="0.65">
      <c r="A15" s="67"/>
      <c r="B15" s="67"/>
      <c r="C15" s="67" t="s">
        <v>48</v>
      </c>
      <c r="D15" s="67"/>
      <c r="E15" s="67"/>
      <c r="F15" s="78" t="e">
        <f>'A Inzicht'!AB21+'A Inzicht'!AB22+'A Inzicht'!AB23</f>
        <v>#VALUE!</v>
      </c>
      <c r="G15" s="67"/>
      <c r="H15" s="79" t="e">
        <f>F15/F30</f>
        <v>#VALUE!</v>
      </c>
    </row>
    <row r="16" spans="1:15" ht="14.15" customHeight="1" x14ac:dyDescent="0.65">
      <c r="A16" s="67"/>
      <c r="B16" s="67"/>
      <c r="C16" s="67" t="s">
        <v>8</v>
      </c>
      <c r="D16" s="67"/>
      <c r="E16" s="67"/>
      <c r="F16" s="80">
        <f>'A Inzicht'!AB24+'A Inzicht'!AB25+'A Inzicht'!AB26+'A Inzicht'!AB27+'A Inzicht'!AB28+'A Inzicht'!AB29+'A Inzicht'!AB30</f>
        <v>0</v>
      </c>
      <c r="G16" s="67"/>
      <c r="H16" s="79" t="e">
        <f>F16/F30</f>
        <v>#VALUE!</v>
      </c>
    </row>
    <row r="17" spans="1:17" ht="14.15" customHeight="1" x14ac:dyDescent="0.65">
      <c r="A17" s="67"/>
      <c r="B17" s="67"/>
      <c r="C17" s="67" t="s">
        <v>143</v>
      </c>
      <c r="D17" s="67"/>
      <c r="E17" s="67"/>
      <c r="F17" s="80">
        <f>'A Inzicht'!AB31+'A Inzicht'!AB32+'A Inzicht'!AB33</f>
        <v>0</v>
      </c>
      <c r="G17" s="67"/>
      <c r="H17" s="79" t="e">
        <f>F17/F30</f>
        <v>#VALUE!</v>
      </c>
    </row>
    <row r="18" spans="1:17" ht="14.15" customHeight="1" x14ac:dyDescent="0.65">
      <c r="A18" s="67"/>
      <c r="B18" s="67"/>
      <c r="C18" s="67"/>
      <c r="D18" s="67"/>
      <c r="E18" s="67"/>
      <c r="F18" s="68"/>
      <c r="G18" s="67"/>
      <c r="H18" s="79"/>
    </row>
    <row r="19" spans="1:17" s="77" customFormat="1" ht="14.15" customHeight="1" x14ac:dyDescent="0.65">
      <c r="A19" s="72"/>
      <c r="B19" s="72" t="s">
        <v>0</v>
      </c>
      <c r="C19" s="72"/>
      <c r="D19" s="72"/>
      <c r="E19" s="73"/>
      <c r="F19" s="74"/>
      <c r="G19" s="75">
        <f>SUM(F20:F23)</f>
        <v>0</v>
      </c>
      <c r="H19" s="76" t="e">
        <f>G19/F30</f>
        <v>#VALUE!</v>
      </c>
    </row>
    <row r="20" spans="1:17" ht="14.15" customHeight="1" x14ac:dyDescent="0.65">
      <c r="A20" s="67"/>
      <c r="B20" s="67"/>
      <c r="C20" s="67" t="s">
        <v>60</v>
      </c>
      <c r="D20" s="67"/>
      <c r="E20" s="67"/>
      <c r="F20" s="80">
        <f>'A Inzicht'!AB36+'A Inzicht'!AB37+'A Inzicht'!AB38+'A Inzicht'!AB39</f>
        <v>0</v>
      </c>
      <c r="G20" s="67"/>
      <c r="H20" s="79" t="e">
        <f>F20/F30</f>
        <v>#VALUE!</v>
      </c>
    </row>
    <row r="21" spans="1:17" ht="14.15" customHeight="1" x14ac:dyDescent="0.65">
      <c r="A21" s="67"/>
      <c r="B21" s="67"/>
      <c r="C21" s="67" t="s">
        <v>79</v>
      </c>
      <c r="D21" s="67"/>
      <c r="E21" s="67"/>
      <c r="F21" s="80">
        <f>'A Inzicht'!AB40+'A Inzicht'!AB41+'A Inzicht'!AB42</f>
        <v>0</v>
      </c>
      <c r="G21" s="67"/>
      <c r="H21" s="79" t="e">
        <f>F21/F30</f>
        <v>#VALUE!</v>
      </c>
    </row>
    <row r="22" spans="1:17" ht="14.15" customHeight="1" x14ac:dyDescent="0.65">
      <c r="A22" s="67"/>
      <c r="B22" s="67"/>
      <c r="C22" s="67" t="s">
        <v>59</v>
      </c>
      <c r="D22" s="67"/>
      <c r="E22" s="67"/>
      <c r="F22" s="80">
        <f>'A Inzicht'!AB43+'A Inzicht'!AB44+'A Inzicht'!AB45+'A Inzicht'!AB46+'A Inzicht'!AB47+'A Inzicht'!AB47+'A Inzicht'!AB48</f>
        <v>0</v>
      </c>
      <c r="G22" s="67"/>
      <c r="H22" s="79" t="e">
        <f>F22/F30</f>
        <v>#VALUE!</v>
      </c>
    </row>
    <row r="23" spans="1:17" ht="14.15" customHeight="1" x14ac:dyDescent="0.65">
      <c r="A23" s="67"/>
      <c r="B23" s="67"/>
      <c r="C23" s="67"/>
      <c r="D23" s="67"/>
      <c r="E23" s="67"/>
      <c r="F23" s="68"/>
      <c r="G23" s="67"/>
      <c r="H23" s="79"/>
    </row>
    <row r="24" spans="1:17" ht="14.15" customHeight="1" x14ac:dyDescent="0.65">
      <c r="A24" s="67"/>
      <c r="B24" s="72" t="s">
        <v>93</v>
      </c>
      <c r="C24" s="67"/>
      <c r="D24" s="67"/>
      <c r="E24" s="67"/>
      <c r="F24" s="68"/>
      <c r="G24" s="75">
        <f>SUM(F25:F29)</f>
        <v>0</v>
      </c>
      <c r="H24" s="76" t="e">
        <f>G24/F30</f>
        <v>#VALUE!</v>
      </c>
    </row>
    <row r="25" spans="1:17" ht="14.15" customHeight="1" x14ac:dyDescent="0.65">
      <c r="A25" s="67"/>
      <c r="B25" s="67"/>
      <c r="C25" s="67" t="s">
        <v>25</v>
      </c>
      <c r="D25" s="67"/>
      <c r="E25" s="67"/>
      <c r="F25" s="80">
        <f>'A Inzicht'!AB51+'A Inzicht'!AB52+'A Inzicht'!AB53+'A Inzicht'!AB54+'A Inzicht'!AB55+'A Inzicht'!AB56+'A Inzicht'!AB57+'A Inzicht'!AB58+'A Inzicht'!AB59+'A Inzicht'!AB60+'A Inzicht'!AB61</f>
        <v>0</v>
      </c>
      <c r="G25" s="67"/>
      <c r="H25" s="79" t="e">
        <f>F25/F30</f>
        <v>#VALUE!</v>
      </c>
    </row>
    <row r="26" spans="1:17" ht="14.15" customHeight="1" x14ac:dyDescent="0.65">
      <c r="A26" s="67"/>
      <c r="B26" s="67"/>
      <c r="C26" s="67" t="s">
        <v>27</v>
      </c>
      <c r="D26" s="67"/>
      <c r="E26" s="67"/>
      <c r="F26" s="80">
        <f>'A Inzicht'!AB62+'A Inzicht'!AB63+'A Inzicht'!AB64+'A Inzicht'!AB65+'A Inzicht'!AB66+'A Inzicht'!AB67+'A Inzicht'!AB68+'A Inzicht'!AB69+'A Inzicht'!AB70</f>
        <v>0</v>
      </c>
      <c r="G26" s="67"/>
      <c r="H26" s="79" t="e">
        <f>F26/F30</f>
        <v>#VALUE!</v>
      </c>
      <c r="Q26" s="81"/>
    </row>
    <row r="27" spans="1:17" ht="14.15" customHeight="1" x14ac:dyDescent="0.65">
      <c r="A27" s="67"/>
      <c r="B27" s="67"/>
      <c r="C27" s="67" t="s">
        <v>13</v>
      </c>
      <c r="D27" s="67"/>
      <c r="E27" s="67"/>
      <c r="F27" s="80">
        <f>'A Inzicht'!AB71+'A Inzicht'!AB72+'A Inzicht'!AB73</f>
        <v>0</v>
      </c>
      <c r="G27" s="67"/>
      <c r="H27" s="79" t="e">
        <f>F27/F30</f>
        <v>#VALUE!</v>
      </c>
    </row>
    <row r="28" spans="1:17" ht="14.15" customHeight="1" x14ac:dyDescent="0.65">
      <c r="A28" s="67"/>
      <c r="B28" s="67"/>
      <c r="C28" s="67" t="s">
        <v>30</v>
      </c>
      <c r="D28" s="67"/>
      <c r="E28" s="67"/>
      <c r="F28" s="80">
        <f>'A Inzicht'!AB74+'A Inzicht'!AB75</f>
        <v>0</v>
      </c>
      <c r="G28" s="67"/>
      <c r="H28" s="79" t="e">
        <f>F28/F30</f>
        <v>#VALUE!</v>
      </c>
      <c r="Q28" s="81"/>
    </row>
    <row r="29" spans="1:17" ht="14.15" customHeight="1" x14ac:dyDescent="0.65">
      <c r="A29" s="67"/>
      <c r="B29" s="67"/>
      <c r="C29" s="67"/>
      <c r="D29" s="67"/>
      <c r="E29" s="67"/>
      <c r="F29" s="68"/>
      <c r="G29" s="67"/>
      <c r="H29" s="79"/>
    </row>
    <row r="30" spans="1:17" ht="14.15" customHeight="1" x14ac:dyDescent="0.65">
      <c r="A30" s="67"/>
      <c r="B30" s="67"/>
      <c r="C30" s="67"/>
      <c r="D30" s="67"/>
      <c r="E30" s="73" t="s">
        <v>20</v>
      </c>
      <c r="F30" s="82" t="e">
        <f>G12+G19+G24</f>
        <v>#VALUE!</v>
      </c>
      <c r="G30" s="72" t="s">
        <v>120</v>
      </c>
      <c r="H30" s="79"/>
    </row>
    <row r="31" spans="1:17" ht="14.15" customHeight="1" x14ac:dyDescent="0.65">
      <c r="A31" s="67"/>
      <c r="B31" s="67"/>
      <c r="C31" s="67"/>
      <c r="D31" s="67"/>
      <c r="E31" s="67"/>
      <c r="F31" s="68"/>
      <c r="G31" s="67"/>
      <c r="H31" s="79"/>
    </row>
    <row r="33" spans="1:8" ht="14.15" customHeight="1" x14ac:dyDescent="0.65">
      <c r="A33" s="59" t="s">
        <v>21</v>
      </c>
      <c r="D33" s="59" t="s">
        <v>135</v>
      </c>
      <c r="F33" s="59"/>
      <c r="G33" s="93" t="e">
        <f>G12/Sleutels!K6</f>
        <v>#VALUE!</v>
      </c>
      <c r="H33" s="66" t="s">
        <v>120</v>
      </c>
    </row>
    <row r="34" spans="1:8" ht="14.15" customHeight="1" x14ac:dyDescent="0.65">
      <c r="D34" s="59" t="s">
        <v>121</v>
      </c>
      <c r="F34" s="59"/>
      <c r="G34" s="93" t="e">
        <f>G12/(Sleutels!K7/2)</f>
        <v>#VALUE!</v>
      </c>
      <c r="H34" s="66" t="s">
        <v>120</v>
      </c>
    </row>
    <row r="35" spans="1:8" ht="14.15" customHeight="1" x14ac:dyDescent="0.65">
      <c r="A35" s="59" t="s">
        <v>137</v>
      </c>
    </row>
    <row r="36" spans="1:8" ht="14.15" customHeight="1" x14ac:dyDescent="0.65">
      <c r="D36" s="59" t="s">
        <v>135</v>
      </c>
      <c r="F36" s="59"/>
      <c r="G36" s="93">
        <f>(G19+G24)/Sleutels!K6</f>
        <v>0</v>
      </c>
      <c r="H36" s="66" t="s">
        <v>120</v>
      </c>
    </row>
    <row r="37" spans="1:8" ht="14.15" customHeight="1" x14ac:dyDescent="0.65">
      <c r="A37" s="84"/>
      <c r="D37" s="59" t="s">
        <v>121</v>
      </c>
      <c r="F37" s="59"/>
      <c r="G37" s="93">
        <f>(G19+G24)/(Sleutels!K7/2)</f>
        <v>0</v>
      </c>
      <c r="H37" s="66" t="s">
        <v>120</v>
      </c>
    </row>
    <row r="38" spans="1:8" ht="14.15" customHeight="1" x14ac:dyDescent="0.65">
      <c r="C38" s="84"/>
      <c r="E38" s="84"/>
      <c r="F38" s="84"/>
      <c r="G38" s="93"/>
      <c r="H38" s="66"/>
    </row>
    <row r="39" spans="1:8" ht="14.15" customHeight="1" x14ac:dyDescent="0.65">
      <c r="C39" s="85"/>
      <c r="D39" s="85"/>
    </row>
  </sheetData>
  <mergeCells count="3">
    <mergeCell ref="H2:I2"/>
    <mergeCell ref="K2:M2"/>
    <mergeCell ref="F11:G11"/>
  </mergeCells>
  <pageMargins left="0.7" right="0.7" top="0.75" bottom="0.75" header="0.3" footer="0.3"/>
  <pageSetup paperSize="9" scale="80" orientation="landscape" horizontalDpi="4294967293" verticalDpi="4294967293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E4B1E-A622-CB4C-9251-DCDABD5970CB}">
  <sheetPr>
    <tabColor rgb="FFFFFF00"/>
    <pageSetUpPr fitToPage="1"/>
  </sheetPr>
  <dimension ref="A1:Q39"/>
  <sheetViews>
    <sheetView zoomScale="120" zoomScaleNormal="120" zoomScalePageLayoutView="130" workbookViewId="0">
      <selection activeCell="E9" sqref="E9"/>
    </sheetView>
  </sheetViews>
  <sheetFormatPr defaultColWidth="8.86328125" defaultRowHeight="14.15" customHeight="1" x14ac:dyDescent="0.65"/>
  <cols>
    <col min="1" max="1" width="1.26953125" style="59" customWidth="1"/>
    <col min="2" max="2" width="1.7265625" style="59" customWidth="1"/>
    <col min="3" max="3" width="10.86328125" style="59" customWidth="1"/>
    <col min="4" max="4" width="1.86328125" style="59" customWidth="1"/>
    <col min="5" max="5" width="20.7265625" style="59" customWidth="1"/>
    <col min="6" max="6" width="8" style="62" customWidth="1"/>
    <col min="7" max="7" width="8" style="59" customWidth="1"/>
    <col min="8" max="8" width="11.7265625" style="62" customWidth="1"/>
    <col min="9" max="26" width="7.40625" style="59" customWidth="1"/>
    <col min="27" max="16384" width="8.86328125" style="59"/>
  </cols>
  <sheetData>
    <row r="1" spans="1:15" s="55" customFormat="1" ht="14.15" customHeight="1" x14ac:dyDescent="0.75">
      <c r="F1" s="56"/>
      <c r="H1" s="57"/>
    </row>
    <row r="2" spans="1:15" s="55" customFormat="1" ht="14.15" customHeight="1" x14ac:dyDescent="0.75">
      <c r="B2" s="94" t="s">
        <v>24</v>
      </c>
      <c r="F2" s="56"/>
      <c r="H2" s="372" t="s">
        <v>119</v>
      </c>
      <c r="I2" s="373"/>
      <c r="K2" s="374" t="str" cm="1">
        <f t="array" aca="1" ref="K2" ca="1">MID(CELL("filename",$A$1),SEARCH("]", CELL("filename",$A$1))+1,999)</f>
        <v>2026</v>
      </c>
      <c r="L2" s="374"/>
      <c r="M2" s="374"/>
    </row>
    <row r="3" spans="1:15" s="55" customFormat="1" ht="14.15" customHeight="1" x14ac:dyDescent="0.75">
      <c r="F3" s="56"/>
      <c r="G3" s="58"/>
      <c r="H3" s="57"/>
    </row>
    <row r="4" spans="1:15" s="55" customFormat="1" ht="14.15" customHeight="1" x14ac:dyDescent="0.75">
      <c r="F4" s="56"/>
      <c r="H4" s="57"/>
    </row>
    <row r="6" spans="1:15" ht="14.15" customHeight="1" x14ac:dyDescent="0.7">
      <c r="B6" s="60" t="s">
        <v>5</v>
      </c>
      <c r="C6" s="61"/>
      <c r="D6" s="61"/>
      <c r="E6" s="61" t="str">
        <f>'2026 H1'!E6</f>
        <v>Vreugdenhil Berging</v>
      </c>
      <c r="G6" s="102"/>
      <c r="O6" s="64" t="s">
        <v>4</v>
      </c>
    </row>
    <row r="7" spans="1:15" ht="14.15" customHeight="1" x14ac:dyDescent="0.65">
      <c r="B7" s="61" t="s">
        <v>6</v>
      </c>
      <c r="C7" s="61"/>
      <c r="D7" s="61"/>
      <c r="E7" s="164">
        <f>'2024 H1'!E7</f>
        <v>27183387</v>
      </c>
      <c r="F7" s="66"/>
    </row>
    <row r="8" spans="1:15" ht="14.15" customHeight="1" x14ac:dyDescent="0.65">
      <c r="B8" s="61" t="s">
        <v>11</v>
      </c>
      <c r="C8" s="61"/>
      <c r="D8" s="61"/>
      <c r="E8" s="65" t="s">
        <v>180</v>
      </c>
    </row>
    <row r="10" spans="1:15" ht="14.15" customHeight="1" x14ac:dyDescent="0.65">
      <c r="A10" s="67"/>
      <c r="B10" s="67"/>
      <c r="C10" s="67"/>
      <c r="D10" s="67"/>
      <c r="E10" s="67"/>
      <c r="F10" s="67"/>
      <c r="G10" s="67"/>
      <c r="H10" s="68"/>
    </row>
    <row r="11" spans="1:15" s="71" customFormat="1" ht="14.15" customHeight="1" x14ac:dyDescent="0.65">
      <c r="A11" s="69"/>
      <c r="B11" s="69"/>
      <c r="C11" s="69"/>
      <c r="D11" s="69"/>
      <c r="E11" s="69"/>
      <c r="F11" s="375" t="s">
        <v>120</v>
      </c>
      <c r="G11" s="375"/>
      <c r="H11" s="70" t="s">
        <v>7</v>
      </c>
    </row>
    <row r="12" spans="1:15" s="77" customFormat="1" ht="14.15" customHeight="1" x14ac:dyDescent="0.65">
      <c r="A12" s="72"/>
      <c r="B12" s="72" t="s">
        <v>1</v>
      </c>
      <c r="C12" s="72"/>
      <c r="D12" s="72"/>
      <c r="E12" s="73"/>
      <c r="F12" s="74"/>
      <c r="G12" s="75" t="e">
        <f>SUM(F13:F18)</f>
        <v>#VALUE!</v>
      </c>
      <c r="H12" s="76" t="e">
        <f>G12/F30</f>
        <v>#VALUE!</v>
      </c>
    </row>
    <row r="13" spans="1:15" ht="14.15" customHeight="1" x14ac:dyDescent="0.65">
      <c r="A13" s="67"/>
      <c r="B13" s="67"/>
      <c r="C13" s="67" t="s">
        <v>155</v>
      </c>
      <c r="D13" s="67"/>
      <c r="E13" s="67"/>
      <c r="F13" s="78">
        <f>'A Inzicht'!AF7+'A Inzicht'!AF8+'A Inzicht'!AF9+'A Inzicht'!AF10+'A Inzicht'!AF11+'A Inzicht'!AF12+'A Inzicht'!AF13</f>
        <v>0</v>
      </c>
      <c r="G13" s="67"/>
      <c r="H13" s="79" t="e">
        <f>F13/F30</f>
        <v>#VALUE!</v>
      </c>
    </row>
    <row r="14" spans="1:15" ht="14.15" customHeight="1" x14ac:dyDescent="0.65">
      <c r="A14" s="67"/>
      <c r="B14" s="67"/>
      <c r="C14" s="67" t="s">
        <v>154</v>
      </c>
      <c r="D14" s="67"/>
      <c r="E14" s="67"/>
      <c r="F14" s="78">
        <f>'A Inzicht'!AF14+'A Inzicht'!AF15+'A Inzicht'!AF16+'A Inzicht'!AF17+'A Inzicht'!AF18+'A Inzicht'!AF19+'A Inzicht'!AF20</f>
        <v>0</v>
      </c>
      <c r="G14" s="67"/>
      <c r="H14" s="79" t="e">
        <f>F14/F30</f>
        <v>#VALUE!</v>
      </c>
    </row>
    <row r="15" spans="1:15" ht="14.15" customHeight="1" x14ac:dyDescent="0.65">
      <c r="A15" s="67"/>
      <c r="B15" s="67"/>
      <c r="C15" s="67" t="s">
        <v>48</v>
      </c>
      <c r="D15" s="67"/>
      <c r="E15" s="67"/>
      <c r="F15" s="78" t="e">
        <f>'A Inzicht'!AF21+'A Inzicht'!AF22+'A Inzicht'!AF23</f>
        <v>#VALUE!</v>
      </c>
      <c r="G15" s="67"/>
      <c r="H15" s="79" t="e">
        <f>F15/F30</f>
        <v>#VALUE!</v>
      </c>
    </row>
    <row r="16" spans="1:15" ht="14.15" customHeight="1" x14ac:dyDescent="0.65">
      <c r="A16" s="67"/>
      <c r="B16" s="67"/>
      <c r="C16" s="67" t="s">
        <v>8</v>
      </c>
      <c r="D16" s="67"/>
      <c r="E16" s="67"/>
      <c r="F16" s="80">
        <f>'A Inzicht'!AF24+'A Inzicht'!AF25+'A Inzicht'!AF26+'A Inzicht'!AF27+'A Inzicht'!AF28+'A Inzicht'!AF29+'A Inzicht'!AF30</f>
        <v>0</v>
      </c>
      <c r="G16" s="67"/>
      <c r="H16" s="79" t="e">
        <f>F16/F30</f>
        <v>#VALUE!</v>
      </c>
    </row>
    <row r="17" spans="1:17" ht="14.15" customHeight="1" x14ac:dyDescent="0.65">
      <c r="A17" s="67"/>
      <c r="B17" s="67"/>
      <c r="C17" s="67" t="s">
        <v>143</v>
      </c>
      <c r="D17" s="67"/>
      <c r="E17" s="67"/>
      <c r="F17" s="80">
        <f>'A Inzicht'!AF31+'A Inzicht'!AF32+'A Inzicht'!AF33</f>
        <v>0</v>
      </c>
      <c r="G17" s="67"/>
      <c r="H17" s="79" t="e">
        <f>F17/F30</f>
        <v>#VALUE!</v>
      </c>
    </row>
    <row r="18" spans="1:17" ht="14.15" customHeight="1" x14ac:dyDescent="0.65">
      <c r="A18" s="67"/>
      <c r="B18" s="67"/>
      <c r="C18" s="67"/>
      <c r="D18" s="67"/>
      <c r="E18" s="67"/>
      <c r="F18" s="68"/>
      <c r="G18" s="67"/>
      <c r="H18" s="79"/>
    </row>
    <row r="19" spans="1:17" s="77" customFormat="1" ht="14.15" customHeight="1" x14ac:dyDescent="0.65">
      <c r="A19" s="72"/>
      <c r="B19" s="72" t="s">
        <v>0</v>
      </c>
      <c r="C19" s="72"/>
      <c r="D19" s="72"/>
      <c r="E19" s="73"/>
      <c r="F19" s="74"/>
      <c r="G19" s="75">
        <f>SUM(F20:F23)</f>
        <v>0</v>
      </c>
      <c r="H19" s="76" t="e">
        <f>G19/F30</f>
        <v>#VALUE!</v>
      </c>
    </row>
    <row r="20" spans="1:17" ht="14.15" customHeight="1" x14ac:dyDescent="0.65">
      <c r="A20" s="67"/>
      <c r="B20" s="67"/>
      <c r="C20" s="67" t="s">
        <v>60</v>
      </c>
      <c r="D20" s="67"/>
      <c r="E20" s="67"/>
      <c r="F20" s="80">
        <f>'A Inzicht'!AF36+'A Inzicht'!AF37+'A Inzicht'!AF38+'A Inzicht'!AF39</f>
        <v>0</v>
      </c>
      <c r="G20" s="67"/>
      <c r="H20" s="79" t="e">
        <f>F20/F30</f>
        <v>#VALUE!</v>
      </c>
    </row>
    <row r="21" spans="1:17" ht="14.15" customHeight="1" x14ac:dyDescent="0.65">
      <c r="A21" s="67"/>
      <c r="B21" s="67"/>
      <c r="C21" s="67" t="s">
        <v>79</v>
      </c>
      <c r="D21" s="67"/>
      <c r="E21" s="67"/>
      <c r="F21" s="80">
        <f>'A Inzicht'!AF40+'A Inzicht'!AF41+'A Inzicht'!AF42</f>
        <v>0</v>
      </c>
      <c r="G21" s="67"/>
      <c r="H21" s="79" t="e">
        <f>F21/F30</f>
        <v>#VALUE!</v>
      </c>
    </row>
    <row r="22" spans="1:17" ht="14.15" customHeight="1" x14ac:dyDescent="0.65">
      <c r="A22" s="67"/>
      <c r="B22" s="67"/>
      <c r="C22" s="67" t="s">
        <v>59</v>
      </c>
      <c r="D22" s="67"/>
      <c r="E22" s="67"/>
      <c r="F22" s="80">
        <f>'A Inzicht'!AF43+'A Inzicht'!AF44+'A Inzicht'!AF45+'A Inzicht'!AF46+'A Inzicht'!AF47+'A Inzicht'!AF48</f>
        <v>0</v>
      </c>
      <c r="G22" s="67"/>
      <c r="H22" s="79" t="e">
        <f>F22/F30</f>
        <v>#VALUE!</v>
      </c>
    </row>
    <row r="23" spans="1:17" ht="14.15" customHeight="1" x14ac:dyDescent="0.65">
      <c r="A23" s="67"/>
      <c r="B23" s="67"/>
      <c r="C23" s="67"/>
      <c r="D23" s="67"/>
      <c r="E23" s="67"/>
      <c r="F23" s="68"/>
      <c r="G23" s="67"/>
      <c r="H23" s="79"/>
    </row>
    <row r="24" spans="1:17" ht="14.15" customHeight="1" x14ac:dyDescent="0.65">
      <c r="A24" s="67"/>
      <c r="B24" s="72" t="s">
        <v>93</v>
      </c>
      <c r="C24" s="67"/>
      <c r="D24" s="67"/>
      <c r="E24" s="67"/>
      <c r="F24" s="68"/>
      <c r="G24" s="75">
        <f>SUM(F25:F29)</f>
        <v>0</v>
      </c>
      <c r="H24" s="76" t="e">
        <f>G24/F30</f>
        <v>#VALUE!</v>
      </c>
    </row>
    <row r="25" spans="1:17" ht="14.15" customHeight="1" x14ac:dyDescent="0.65">
      <c r="A25" s="67"/>
      <c r="B25" s="67"/>
      <c r="C25" s="67" t="s">
        <v>25</v>
      </c>
      <c r="D25" s="67"/>
      <c r="E25" s="67"/>
      <c r="F25" s="80">
        <f>'A Inzicht'!AF51+'A Inzicht'!AF52+'A Inzicht'!AF53+'A Inzicht'!AF54+'A Inzicht'!AF55+'A Inzicht'!AF56+'A Inzicht'!AF57+'A Inzicht'!AF58+'A Inzicht'!AF59+'A Inzicht'!AF60+'A Inzicht'!AF61</f>
        <v>0</v>
      </c>
      <c r="G25" s="67"/>
      <c r="H25" s="79" t="e">
        <f>F25/F30</f>
        <v>#VALUE!</v>
      </c>
    </row>
    <row r="26" spans="1:17" ht="14.15" customHeight="1" x14ac:dyDescent="0.65">
      <c r="A26" s="67"/>
      <c r="B26" s="67"/>
      <c r="C26" s="67" t="s">
        <v>27</v>
      </c>
      <c r="D26" s="67"/>
      <c r="E26" s="67"/>
      <c r="F26" s="80">
        <f>'A Inzicht'!AF62+'A Inzicht'!AF63+'A Inzicht'!AF64+'A Inzicht'!AF65+'A Inzicht'!AF67+'A Inzicht'!AF68+'A Inzicht'!AF69+'A Inzicht'!AF70</f>
        <v>0</v>
      </c>
      <c r="G26" s="67"/>
      <c r="H26" s="79" t="e">
        <f>F26/F30</f>
        <v>#VALUE!</v>
      </c>
      <c r="Q26" s="81"/>
    </row>
    <row r="27" spans="1:17" ht="14.15" customHeight="1" x14ac:dyDescent="0.65">
      <c r="A27" s="67"/>
      <c r="B27" s="67"/>
      <c r="C27" s="67" t="s">
        <v>13</v>
      </c>
      <c r="D27" s="67"/>
      <c r="E27" s="67"/>
      <c r="F27" s="80">
        <f>'A Inzicht'!AF71+'A Inzicht'!AF72+'A Inzicht'!AF73</f>
        <v>0</v>
      </c>
      <c r="G27" s="67"/>
      <c r="H27" s="79" t="e">
        <f>F27/F30</f>
        <v>#VALUE!</v>
      </c>
    </row>
    <row r="28" spans="1:17" ht="14.15" customHeight="1" x14ac:dyDescent="0.65">
      <c r="A28" s="67"/>
      <c r="B28" s="67"/>
      <c r="C28" s="67" t="s">
        <v>30</v>
      </c>
      <c r="D28" s="67"/>
      <c r="E28" s="67"/>
      <c r="F28" s="80">
        <f>'A Inzicht'!AF74+'A Inzicht'!AF75</f>
        <v>0</v>
      </c>
      <c r="G28" s="67"/>
      <c r="H28" s="79" t="e">
        <f>F28/F30</f>
        <v>#VALUE!</v>
      </c>
      <c r="Q28" s="81"/>
    </row>
    <row r="29" spans="1:17" ht="14.15" customHeight="1" x14ac:dyDescent="0.65">
      <c r="A29" s="67"/>
      <c r="B29" s="67"/>
      <c r="C29" s="67"/>
      <c r="D29" s="67"/>
      <c r="E29" s="67"/>
      <c r="F29" s="68"/>
      <c r="G29" s="67"/>
      <c r="H29" s="79"/>
    </row>
    <row r="30" spans="1:17" ht="14.15" customHeight="1" x14ac:dyDescent="0.65">
      <c r="A30" s="67"/>
      <c r="B30" s="67"/>
      <c r="C30" s="67"/>
      <c r="D30" s="67"/>
      <c r="E30" s="73" t="s">
        <v>20</v>
      </c>
      <c r="F30" s="82" t="e">
        <f>G12+G19+G24</f>
        <v>#VALUE!</v>
      </c>
      <c r="G30" s="72" t="s">
        <v>120</v>
      </c>
      <c r="H30" s="79"/>
    </row>
    <row r="31" spans="1:17" ht="14.15" customHeight="1" x14ac:dyDescent="0.65">
      <c r="A31" s="67"/>
      <c r="B31" s="67"/>
      <c r="C31" s="67"/>
      <c r="D31" s="67"/>
      <c r="E31" s="67"/>
      <c r="F31" s="68"/>
      <c r="G31" s="67"/>
      <c r="H31" s="79"/>
    </row>
    <row r="33" spans="1:8" ht="14.15" customHeight="1" x14ac:dyDescent="0.65">
      <c r="A33" s="59" t="s">
        <v>21</v>
      </c>
      <c r="D33" s="59" t="s">
        <v>135</v>
      </c>
      <c r="F33" s="59"/>
      <c r="G33" s="93" t="e">
        <f>G12/Sleutels!M6</f>
        <v>#VALUE!</v>
      </c>
      <c r="H33" s="66" t="s">
        <v>120</v>
      </c>
    </row>
    <row r="34" spans="1:8" ht="14.15" customHeight="1" x14ac:dyDescent="0.65">
      <c r="D34" s="59" t="s">
        <v>121</v>
      </c>
      <c r="F34" s="59"/>
      <c r="G34" s="93" t="e">
        <f>G12/Sleutels!M7</f>
        <v>#VALUE!</v>
      </c>
      <c r="H34" s="66" t="s">
        <v>120</v>
      </c>
    </row>
    <row r="35" spans="1:8" ht="14.15" customHeight="1" x14ac:dyDescent="0.65">
      <c r="A35" s="59" t="s">
        <v>137</v>
      </c>
    </row>
    <row r="36" spans="1:8" ht="14.15" customHeight="1" x14ac:dyDescent="0.65">
      <c r="D36" s="59" t="s">
        <v>135</v>
      </c>
      <c r="F36" s="59"/>
      <c r="G36" s="93">
        <f>(G19+G24)/Sleutels!M6</f>
        <v>0</v>
      </c>
      <c r="H36" s="66" t="s">
        <v>120</v>
      </c>
    </row>
    <row r="37" spans="1:8" ht="14.15" customHeight="1" x14ac:dyDescent="0.65">
      <c r="A37" s="84"/>
      <c r="D37" s="59" t="s">
        <v>121</v>
      </c>
      <c r="F37" s="59"/>
      <c r="G37" s="93">
        <f>(G19+G24)/Sleutels!M7</f>
        <v>0</v>
      </c>
      <c r="H37" s="66" t="s">
        <v>120</v>
      </c>
    </row>
    <row r="38" spans="1:8" ht="14.15" customHeight="1" x14ac:dyDescent="0.65">
      <c r="C38" s="84"/>
      <c r="E38" s="84"/>
      <c r="F38" s="84"/>
      <c r="G38" s="93"/>
      <c r="H38" s="66"/>
    </row>
    <row r="39" spans="1:8" ht="14.15" customHeight="1" x14ac:dyDescent="0.65">
      <c r="C39" s="85"/>
      <c r="D39" s="85"/>
    </row>
  </sheetData>
  <mergeCells count="3">
    <mergeCell ref="H2:I2"/>
    <mergeCell ref="K2:M2"/>
    <mergeCell ref="F11:G11"/>
  </mergeCells>
  <pageMargins left="0.7" right="0.7" top="0.75" bottom="0.75" header="0.3" footer="0.3"/>
  <pageSetup paperSize="9" scale="80" orientation="landscape" horizontalDpi="4294967292" verticalDpi="429496729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57ED-CC55-104B-8F5C-CC8B82756B63}">
  <sheetPr>
    <tabColor rgb="FFFFFF00"/>
    <pageSetUpPr fitToPage="1"/>
  </sheetPr>
  <dimension ref="A1:Q39"/>
  <sheetViews>
    <sheetView zoomScale="120" zoomScaleNormal="120" zoomScalePageLayoutView="130" workbookViewId="0">
      <selection activeCell="E8" sqref="E8"/>
    </sheetView>
  </sheetViews>
  <sheetFormatPr defaultColWidth="8.86328125" defaultRowHeight="14.15" customHeight="1" x14ac:dyDescent="0.65"/>
  <cols>
    <col min="1" max="1" width="1.26953125" style="59" customWidth="1"/>
    <col min="2" max="2" width="1.7265625" style="59" customWidth="1"/>
    <col min="3" max="3" width="10.86328125" style="59" customWidth="1"/>
    <col min="4" max="4" width="1.86328125" style="59" customWidth="1"/>
    <col min="5" max="5" width="20.7265625" style="59" customWidth="1"/>
    <col min="6" max="6" width="8" style="62" customWidth="1"/>
    <col min="7" max="7" width="8" style="59" customWidth="1"/>
    <col min="8" max="8" width="11.7265625" style="62" customWidth="1"/>
    <col min="9" max="26" width="7.40625" style="59" customWidth="1"/>
    <col min="27" max="16384" width="8.86328125" style="59"/>
  </cols>
  <sheetData>
    <row r="1" spans="1:15" s="55" customFormat="1" ht="14.15" customHeight="1" x14ac:dyDescent="0.75">
      <c r="F1" s="56"/>
      <c r="H1" s="57"/>
    </row>
    <row r="2" spans="1:15" s="55" customFormat="1" ht="14.15" customHeight="1" x14ac:dyDescent="0.75">
      <c r="B2" s="65" t="s">
        <v>24</v>
      </c>
      <c r="F2" s="56"/>
      <c r="H2" s="372" t="s">
        <v>119</v>
      </c>
      <c r="I2" s="373"/>
      <c r="K2" s="99" t="str" cm="1">
        <f t="array" aca="1" ref="K2" ca="1">MID(CELL("filename",$A$1),SEARCH("]", CELL("filename",$A$1))+1,999)</f>
        <v>2026 project</v>
      </c>
      <c r="L2" s="50"/>
      <c r="M2" s="50"/>
    </row>
    <row r="3" spans="1:15" s="55" customFormat="1" ht="14.15" customHeight="1" x14ac:dyDescent="0.75">
      <c r="F3" s="56"/>
      <c r="G3" s="58"/>
      <c r="H3" s="57"/>
      <c r="K3" s="165" t="s">
        <v>163</v>
      </c>
    </row>
    <row r="4" spans="1:15" s="55" customFormat="1" ht="14.15" customHeight="1" x14ac:dyDescent="0.75">
      <c r="F4" s="56"/>
      <c r="H4" s="57"/>
    </row>
    <row r="6" spans="1:15" ht="14.15" customHeight="1" x14ac:dyDescent="0.7">
      <c r="B6" s="60" t="s">
        <v>5</v>
      </c>
      <c r="C6" s="61"/>
      <c r="D6" s="61"/>
      <c r="E6" s="61" t="str">
        <f>'2026'!E6</f>
        <v>Vreugdenhil Berging</v>
      </c>
      <c r="G6" s="63"/>
      <c r="O6" s="64" t="s">
        <v>4</v>
      </c>
    </row>
    <row r="7" spans="1:15" ht="14.15" customHeight="1" x14ac:dyDescent="0.65">
      <c r="B7" s="61" t="s">
        <v>6</v>
      </c>
      <c r="C7" s="61"/>
      <c r="D7" s="61"/>
      <c r="E7" s="164">
        <f>'2024 H1'!E7</f>
        <v>27183387</v>
      </c>
      <c r="F7" s="66"/>
    </row>
    <row r="8" spans="1:15" ht="14.15" customHeight="1" x14ac:dyDescent="0.65">
      <c r="B8" s="61" t="s">
        <v>11</v>
      </c>
      <c r="C8" s="61"/>
      <c r="D8" s="61"/>
      <c r="E8" s="65" t="s">
        <v>180</v>
      </c>
    </row>
    <row r="10" spans="1:15" ht="14.15" customHeight="1" x14ac:dyDescent="0.65">
      <c r="A10" s="67"/>
      <c r="B10" s="67"/>
      <c r="C10" s="67"/>
      <c r="D10" s="67"/>
      <c r="E10" s="67"/>
      <c r="F10" s="67"/>
      <c r="G10" s="67"/>
      <c r="H10" s="68"/>
    </row>
    <row r="11" spans="1:15" s="71" customFormat="1" ht="14.15" customHeight="1" x14ac:dyDescent="0.65">
      <c r="A11" s="69"/>
      <c r="B11" s="69"/>
      <c r="C11" s="69"/>
      <c r="D11" s="69"/>
      <c r="E11" s="69"/>
      <c r="F11" s="375" t="s">
        <v>120</v>
      </c>
      <c r="G11" s="375"/>
      <c r="H11" s="70" t="s">
        <v>7</v>
      </c>
    </row>
    <row r="12" spans="1:15" s="77" customFormat="1" ht="14.15" customHeight="1" x14ac:dyDescent="0.65">
      <c r="A12" s="72"/>
      <c r="B12" s="72" t="s">
        <v>1</v>
      </c>
      <c r="C12" s="72"/>
      <c r="D12" s="72"/>
      <c r="E12" s="73"/>
      <c r="F12" s="74"/>
      <c r="G12" s="75" t="e">
        <f>SUM(F13:F18)</f>
        <v>#VALUE!</v>
      </c>
      <c r="H12" s="76" t="e">
        <f>G12/F30</f>
        <v>#VALUE!</v>
      </c>
    </row>
    <row r="13" spans="1:15" ht="14.15" customHeight="1" x14ac:dyDescent="0.65">
      <c r="A13" s="67"/>
      <c r="B13" s="67"/>
      <c r="C13" s="67" t="s">
        <v>155</v>
      </c>
      <c r="D13" s="67"/>
      <c r="E13" s="67"/>
      <c r="F13" s="78">
        <f>Sleutels!G25*('A Inzicht'!AF7+'A Inzicht'!AF8+'A Inzicht'!AF9+'A Inzicht'!AF10+'A Inzicht'!AF11+'A Inzicht'!AF12+'A Inzicht'!AF13)</f>
        <v>0</v>
      </c>
      <c r="G13" s="67"/>
      <c r="H13" s="79" t="e">
        <f>F13/F30</f>
        <v>#VALUE!</v>
      </c>
    </row>
    <row r="14" spans="1:15" ht="14.15" customHeight="1" x14ac:dyDescent="0.65">
      <c r="A14" s="67"/>
      <c r="B14" s="67"/>
      <c r="C14" s="67" t="s">
        <v>154</v>
      </c>
      <c r="D14" s="67"/>
      <c r="E14" s="67"/>
      <c r="F14" s="78">
        <f>Sleutels!G25*('A Inzicht'!AF14+'A Inzicht'!AF15+'A Inzicht'!AF16+'A Inzicht'!AF17+'A Inzicht'!AF18+'A Inzicht'!AF19+'A Inzicht'!AF20)</f>
        <v>0</v>
      </c>
      <c r="G14" s="67"/>
      <c r="H14" s="79" t="e">
        <f>F14/F30</f>
        <v>#VALUE!</v>
      </c>
    </row>
    <row r="15" spans="1:15" ht="14.15" customHeight="1" x14ac:dyDescent="0.65">
      <c r="A15" s="67"/>
      <c r="B15" s="67"/>
      <c r="C15" s="67" t="s">
        <v>48</v>
      </c>
      <c r="D15" s="67"/>
      <c r="E15" s="67"/>
      <c r="F15" s="78" t="e">
        <f>Sleutels!G25*('A Inzicht'!AF21+'A Inzicht'!AF22+'A Inzicht'!AF23)</f>
        <v>#VALUE!</v>
      </c>
      <c r="G15" s="67"/>
      <c r="H15" s="79" t="e">
        <f>F15/F30</f>
        <v>#VALUE!</v>
      </c>
    </row>
    <row r="16" spans="1:15" ht="14.15" customHeight="1" x14ac:dyDescent="0.65">
      <c r="A16" s="67"/>
      <c r="B16" s="67"/>
      <c r="C16" s="67" t="s">
        <v>8</v>
      </c>
      <c r="D16" s="67"/>
      <c r="E16" s="67"/>
      <c r="F16" s="80">
        <f>Sleutels!G25*('A Inzicht'!AF24+'A Inzicht'!AF25+'A Inzicht'!AF26+'A Inzicht'!AF27+'A Inzicht'!AF28+'A Inzicht'!AF29+'A Inzicht'!AF30)</f>
        <v>0</v>
      </c>
      <c r="G16" s="67"/>
      <c r="H16" s="79" t="e">
        <f>F16/F30</f>
        <v>#VALUE!</v>
      </c>
    </row>
    <row r="17" spans="1:17" ht="14.15" customHeight="1" x14ac:dyDescent="0.65">
      <c r="A17" s="67"/>
      <c r="B17" s="67"/>
      <c r="C17" s="67" t="s">
        <v>143</v>
      </c>
      <c r="D17" s="67"/>
      <c r="E17" s="67"/>
      <c r="F17" s="80">
        <f>Sleutels!G25*('A Inzicht'!AF31+'A Inzicht'!AF32+'A Inzicht'!AF33)</f>
        <v>0</v>
      </c>
      <c r="G17" s="67"/>
      <c r="H17" s="79" t="e">
        <f>F17/F30</f>
        <v>#VALUE!</v>
      </c>
    </row>
    <row r="18" spans="1:17" ht="14.15" customHeight="1" x14ac:dyDescent="0.65">
      <c r="A18" s="67"/>
      <c r="B18" s="67"/>
      <c r="C18" s="67"/>
      <c r="D18" s="67"/>
      <c r="E18" s="67"/>
      <c r="F18" s="68"/>
      <c r="G18" s="67"/>
      <c r="H18" s="79"/>
    </row>
    <row r="19" spans="1:17" s="77" customFormat="1" ht="14.15" customHeight="1" x14ac:dyDescent="0.65">
      <c r="A19" s="72"/>
      <c r="B19" s="72" t="s">
        <v>0</v>
      </c>
      <c r="C19" s="72"/>
      <c r="D19" s="72"/>
      <c r="E19" s="73"/>
      <c r="F19" s="74"/>
      <c r="G19" s="75">
        <f>SUM(F20:F23)</f>
        <v>0</v>
      </c>
      <c r="H19" s="76" t="e">
        <f>G19/F30</f>
        <v>#VALUE!</v>
      </c>
    </row>
    <row r="20" spans="1:17" ht="14.15" customHeight="1" x14ac:dyDescent="0.65">
      <c r="A20" s="67"/>
      <c r="B20" s="67"/>
      <c r="C20" s="67" t="s">
        <v>60</v>
      </c>
      <c r="D20" s="67"/>
      <c r="E20" s="67"/>
      <c r="F20" s="80">
        <f>Sleutels!G25*('A Inzicht'!AF36+'A Inzicht'!AF37+'A Inzicht'!AF38+'A Inzicht'!AF39)</f>
        <v>0</v>
      </c>
      <c r="G20" s="67"/>
      <c r="H20" s="79" t="e">
        <f>F20/F30</f>
        <v>#VALUE!</v>
      </c>
    </row>
    <row r="21" spans="1:17" ht="14.15" customHeight="1" x14ac:dyDescent="0.65">
      <c r="A21" s="67"/>
      <c r="B21" s="67"/>
      <c r="C21" s="67" t="s">
        <v>79</v>
      </c>
      <c r="D21" s="67"/>
      <c r="E21" s="67"/>
      <c r="F21" s="80">
        <f>Sleutels!G25*('A Inzicht'!AF40+'A Inzicht'!AF41+'A Inzicht'!AF42)</f>
        <v>0</v>
      </c>
      <c r="G21" s="67"/>
      <c r="H21" s="79" t="e">
        <f>F21/F30</f>
        <v>#VALUE!</v>
      </c>
    </row>
    <row r="22" spans="1:17" ht="14.15" customHeight="1" x14ac:dyDescent="0.65">
      <c r="A22" s="67"/>
      <c r="B22" s="67"/>
      <c r="C22" s="67" t="s">
        <v>59</v>
      </c>
      <c r="D22" s="67"/>
      <c r="E22" s="67"/>
      <c r="F22" s="80">
        <f>Sleutels!G25*('A Inzicht'!AF43+'A Inzicht'!AF44+'A Inzicht'!AF45+'A Inzicht'!AF46+'A Inzicht'!AF47+'A Inzicht'!AF48)</f>
        <v>0</v>
      </c>
      <c r="G22" s="67"/>
      <c r="H22" s="79" t="e">
        <f>F22/F30</f>
        <v>#VALUE!</v>
      </c>
    </row>
    <row r="23" spans="1:17" ht="14.15" customHeight="1" x14ac:dyDescent="0.65">
      <c r="A23" s="67"/>
      <c r="B23" s="67"/>
      <c r="C23" s="67"/>
      <c r="D23" s="67"/>
      <c r="E23" s="67"/>
      <c r="F23" s="68"/>
      <c r="G23" s="67"/>
      <c r="H23" s="79"/>
    </row>
    <row r="24" spans="1:17" ht="14.15" customHeight="1" x14ac:dyDescent="0.65">
      <c r="A24" s="67"/>
      <c r="B24" s="72" t="s">
        <v>93</v>
      </c>
      <c r="C24" s="67"/>
      <c r="D24" s="67"/>
      <c r="E24" s="67"/>
      <c r="F24" s="68"/>
      <c r="G24" s="75">
        <f>SUM(F25:F29)</f>
        <v>0</v>
      </c>
      <c r="H24" s="76" t="e">
        <f>G24/F30</f>
        <v>#VALUE!</v>
      </c>
    </row>
    <row r="25" spans="1:17" ht="14.15" customHeight="1" x14ac:dyDescent="0.65">
      <c r="A25" s="67"/>
      <c r="B25" s="67"/>
      <c r="C25" s="67" t="s">
        <v>25</v>
      </c>
      <c r="D25" s="67"/>
      <c r="E25" s="67"/>
      <c r="F25" s="80">
        <f>Sleutels!G25*('A Inzicht'!AF51+'A Inzicht'!AF52+'A Inzicht'!AF53+'A Inzicht'!AF54+'A Inzicht'!AF55+'A Inzicht'!AF56+'A Inzicht'!AF57+'A Inzicht'!AF58+'A Inzicht'!AF59+'A Inzicht'!AF60+'A Inzicht'!AF61)</f>
        <v>0</v>
      </c>
      <c r="G25" s="67"/>
      <c r="H25" s="79" t="e">
        <f>F25/F30</f>
        <v>#VALUE!</v>
      </c>
    </row>
    <row r="26" spans="1:17" ht="14.15" customHeight="1" x14ac:dyDescent="0.65">
      <c r="A26" s="67"/>
      <c r="B26" s="67"/>
      <c r="C26" s="67" t="s">
        <v>27</v>
      </c>
      <c r="D26" s="67"/>
      <c r="E26" s="67"/>
      <c r="F26" s="80">
        <f>Sleutels!G25*('A Inzicht'!AF62+'A Inzicht'!AF63+'A Inzicht'!AF64+'A Inzicht'!AF65+'A Inzicht'!AF67+'A Inzicht'!AF68+'A Inzicht'!AF69+'A Inzicht'!AF70)</f>
        <v>0</v>
      </c>
      <c r="G26" s="67"/>
      <c r="H26" s="79" t="e">
        <f>F26/F30</f>
        <v>#VALUE!</v>
      </c>
      <c r="Q26" s="81"/>
    </row>
    <row r="27" spans="1:17" ht="14.15" customHeight="1" x14ac:dyDescent="0.65">
      <c r="A27" s="67"/>
      <c r="B27" s="67"/>
      <c r="C27" s="67" t="s">
        <v>13</v>
      </c>
      <c r="D27" s="67"/>
      <c r="E27" s="67"/>
      <c r="F27" s="80">
        <f>Sleutels!G25*('A Inzicht'!AF71+'A Inzicht'!AF72+'A Inzicht'!AF73)</f>
        <v>0</v>
      </c>
      <c r="G27" s="67"/>
      <c r="H27" s="79" t="e">
        <f>F27/F30</f>
        <v>#VALUE!</v>
      </c>
    </row>
    <row r="28" spans="1:17" ht="14.15" customHeight="1" x14ac:dyDescent="0.65">
      <c r="A28" s="67"/>
      <c r="B28" s="67"/>
      <c r="C28" s="67" t="s">
        <v>30</v>
      </c>
      <c r="D28" s="67"/>
      <c r="E28" s="67"/>
      <c r="F28" s="80">
        <f>Sleutels!G25*('A Inzicht'!AF74+'A Inzicht'!AF75)</f>
        <v>0</v>
      </c>
      <c r="G28" s="67"/>
      <c r="H28" s="79" t="e">
        <f>F28/F30</f>
        <v>#VALUE!</v>
      </c>
      <c r="Q28" s="81"/>
    </row>
    <row r="29" spans="1:17" ht="14.15" customHeight="1" x14ac:dyDescent="0.65">
      <c r="A29" s="67"/>
      <c r="B29" s="67"/>
      <c r="C29" s="67"/>
      <c r="D29" s="67"/>
      <c r="E29" s="67"/>
      <c r="F29" s="68"/>
      <c r="G29" s="67"/>
      <c r="H29" s="79"/>
    </row>
    <row r="30" spans="1:17" ht="14.15" customHeight="1" x14ac:dyDescent="0.65">
      <c r="A30" s="67"/>
      <c r="B30" s="67"/>
      <c r="C30" s="67"/>
      <c r="D30" s="67"/>
      <c r="E30" s="73" t="s">
        <v>20</v>
      </c>
      <c r="F30" s="82" t="e">
        <f>G12+G19+G24</f>
        <v>#VALUE!</v>
      </c>
      <c r="G30" s="72" t="s">
        <v>120</v>
      </c>
      <c r="H30" s="79"/>
    </row>
    <row r="31" spans="1:17" ht="14.15" customHeight="1" x14ac:dyDescent="0.65">
      <c r="A31" s="67"/>
      <c r="B31" s="67"/>
      <c r="C31" s="67"/>
      <c r="D31" s="67"/>
      <c r="E31" s="67"/>
      <c r="F31" s="68"/>
      <c r="G31" s="67"/>
      <c r="H31" s="79"/>
    </row>
    <row r="33" spans="1:8" ht="14.15" customHeight="1" x14ac:dyDescent="0.65">
      <c r="A33" s="59" t="s">
        <v>21</v>
      </c>
      <c r="D33" s="59" t="s">
        <v>135</v>
      </c>
      <c r="F33" s="59"/>
      <c r="G33" s="93" t="e">
        <f>G12/Sleutels!M6</f>
        <v>#VALUE!</v>
      </c>
      <c r="H33" s="66" t="s">
        <v>120</v>
      </c>
    </row>
    <row r="34" spans="1:8" ht="14.15" customHeight="1" x14ac:dyDescent="0.65">
      <c r="D34" s="59" t="s">
        <v>121</v>
      </c>
      <c r="F34" s="59"/>
      <c r="G34" s="93" t="e">
        <f>G12/Sleutels!M7</f>
        <v>#VALUE!</v>
      </c>
      <c r="H34" s="66" t="s">
        <v>120</v>
      </c>
    </row>
    <row r="35" spans="1:8" ht="14.15" customHeight="1" x14ac:dyDescent="0.65">
      <c r="A35" s="59" t="s">
        <v>137</v>
      </c>
    </row>
    <row r="36" spans="1:8" ht="14.15" customHeight="1" x14ac:dyDescent="0.65">
      <c r="D36" s="59" t="s">
        <v>135</v>
      </c>
      <c r="F36" s="59"/>
      <c r="G36" s="93">
        <f>(G19+G24)/Sleutels!M6</f>
        <v>0</v>
      </c>
      <c r="H36" s="66" t="s">
        <v>120</v>
      </c>
    </row>
    <row r="37" spans="1:8" ht="14.15" customHeight="1" x14ac:dyDescent="0.65">
      <c r="A37" s="84"/>
      <c r="D37" s="59" t="s">
        <v>121</v>
      </c>
      <c r="F37" s="59"/>
      <c r="G37" s="93">
        <f>(G19+G24)/Sleutels!M7</f>
        <v>0</v>
      </c>
      <c r="H37" s="66" t="s">
        <v>120</v>
      </c>
    </row>
    <row r="38" spans="1:8" ht="14.15" customHeight="1" x14ac:dyDescent="0.65">
      <c r="C38" s="84"/>
      <c r="E38" s="84"/>
      <c r="F38" s="84"/>
      <c r="G38" s="93"/>
      <c r="H38" s="66"/>
    </row>
    <row r="39" spans="1:8" ht="14.15" customHeight="1" x14ac:dyDescent="0.65">
      <c r="C39" s="85"/>
      <c r="D39" s="85"/>
    </row>
  </sheetData>
  <mergeCells count="2">
    <mergeCell ref="H2:I2"/>
    <mergeCell ref="F11:G11"/>
  </mergeCells>
  <pageMargins left="0.7" right="0.7" top="0.75" bottom="0.75" header="0.3" footer="0.3"/>
  <pageSetup paperSize="9" scale="80" orientation="landscape" horizontalDpi="4294967292" verticalDpi="429496729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9341F-E363-6141-A152-3B01BFA14D61}">
  <sheetPr>
    <tabColor rgb="FFFFFF00"/>
    <pageSetUpPr fitToPage="1"/>
  </sheetPr>
  <dimension ref="A1:O38"/>
  <sheetViews>
    <sheetView zoomScale="120" zoomScaleNormal="120" zoomScalePageLayoutView="130" workbookViewId="0">
      <selection activeCell="E9" sqref="E9"/>
    </sheetView>
  </sheetViews>
  <sheetFormatPr defaultColWidth="8.86328125" defaultRowHeight="14.15" customHeight="1" x14ac:dyDescent="0.65"/>
  <cols>
    <col min="1" max="1" width="1.26953125" style="59" customWidth="1"/>
    <col min="2" max="2" width="1.7265625" style="59" customWidth="1"/>
    <col min="3" max="3" width="10.86328125" style="59" customWidth="1"/>
    <col min="4" max="4" width="1.86328125" style="59" customWidth="1"/>
    <col min="5" max="5" width="20.7265625" style="59" customWidth="1"/>
    <col min="6" max="6" width="8" style="62" customWidth="1"/>
    <col min="7" max="7" width="8" style="59" customWidth="1"/>
    <col min="8" max="8" width="11.7265625" style="62" customWidth="1"/>
    <col min="9" max="26" width="7.40625" style="59" customWidth="1"/>
    <col min="27" max="16384" width="8.86328125" style="59"/>
  </cols>
  <sheetData>
    <row r="1" spans="1:15" s="55" customFormat="1" ht="14.15" customHeight="1" x14ac:dyDescent="0.75">
      <c r="F1" s="56"/>
      <c r="H1" s="57"/>
    </row>
    <row r="2" spans="1:15" s="55" customFormat="1" ht="14.15" customHeight="1" x14ac:dyDescent="0.75">
      <c r="B2" s="94" t="s">
        <v>24</v>
      </c>
      <c r="F2" s="56"/>
      <c r="H2" s="372" t="s">
        <v>119</v>
      </c>
      <c r="I2" s="372"/>
      <c r="K2" s="50" t="str" cm="1">
        <f t="array" aca="1" ref="K2" ca="1">MID(CELL("filename",$A$1),SEARCH("]", CELL("filename",$A$1))+1,999)</f>
        <v>2026 verdeling</v>
      </c>
      <c r="L2" s="50"/>
      <c r="M2" s="50" t="s">
        <v>167</v>
      </c>
    </row>
    <row r="3" spans="1:15" s="55" customFormat="1" ht="14.15" customHeight="1" x14ac:dyDescent="0.75">
      <c r="F3" s="56"/>
      <c r="G3" s="58"/>
      <c r="H3" s="57"/>
      <c r="J3" s="108" t="s">
        <v>166</v>
      </c>
    </row>
    <row r="4" spans="1:15" s="55" customFormat="1" ht="14.15" customHeight="1" x14ac:dyDescent="0.75">
      <c r="F4" s="56"/>
      <c r="H4" s="57"/>
      <c r="J4" s="108" t="s">
        <v>108</v>
      </c>
    </row>
    <row r="6" spans="1:15" ht="14.15" customHeight="1" x14ac:dyDescent="0.7">
      <c r="B6" s="60" t="s">
        <v>5</v>
      </c>
      <c r="C6" s="61"/>
      <c r="D6" s="61"/>
      <c r="E6" s="61" t="str">
        <f>'2026 project'!E6</f>
        <v>Vreugdenhil Berging</v>
      </c>
      <c r="G6" s="63"/>
      <c r="O6" s="64" t="s">
        <v>4</v>
      </c>
    </row>
    <row r="7" spans="1:15" ht="14.15" customHeight="1" x14ac:dyDescent="0.65">
      <c r="B7" s="61" t="s">
        <v>6</v>
      </c>
      <c r="C7" s="61"/>
      <c r="D7" s="61"/>
      <c r="E7" s="164">
        <f>'2024 H1'!E7</f>
        <v>27183387</v>
      </c>
      <c r="F7" s="66"/>
    </row>
    <row r="8" spans="1:15" ht="14.15" customHeight="1" x14ac:dyDescent="0.65">
      <c r="B8" s="61" t="s">
        <v>11</v>
      </c>
      <c r="C8" s="61"/>
      <c r="D8" s="61"/>
      <c r="E8" s="65" t="s">
        <v>180</v>
      </c>
    </row>
    <row r="10" spans="1:15" ht="14.15" customHeight="1" x14ac:dyDescent="0.65">
      <c r="A10" s="67"/>
      <c r="B10" s="67"/>
      <c r="C10" s="67"/>
      <c r="D10" s="67"/>
      <c r="E10" s="67"/>
      <c r="F10" s="67"/>
      <c r="G10" s="67"/>
      <c r="H10" s="68"/>
    </row>
    <row r="11" spans="1:15" s="71" customFormat="1" ht="14.15" customHeight="1" x14ac:dyDescent="0.65">
      <c r="A11" s="69"/>
      <c r="B11" s="69"/>
      <c r="C11" s="69"/>
      <c r="D11" s="69"/>
      <c r="E11" s="69"/>
      <c r="F11" s="375" t="s">
        <v>120</v>
      </c>
      <c r="G11" s="375"/>
      <c r="H11" s="70" t="s">
        <v>7</v>
      </c>
    </row>
    <row r="12" spans="1:15" s="77" customFormat="1" ht="14.15" customHeight="1" x14ac:dyDescent="0.65">
      <c r="A12" s="72"/>
      <c r="B12" s="72" t="s">
        <v>62</v>
      </c>
      <c r="C12" s="72"/>
      <c r="D12" s="72"/>
      <c r="E12" s="73"/>
      <c r="F12" s="74"/>
      <c r="G12" s="75">
        <f>SUM(F13:F17)</f>
        <v>0</v>
      </c>
      <c r="H12" s="76" t="e">
        <f>G12/F29</f>
        <v>#VALUE!</v>
      </c>
    </row>
    <row r="13" spans="1:15" ht="14.15" customHeight="1" x14ac:dyDescent="0.65">
      <c r="A13" s="67"/>
      <c r="B13" s="67"/>
      <c r="C13" s="67" t="s">
        <v>155</v>
      </c>
      <c r="D13" s="67"/>
      <c r="E13" s="67"/>
      <c r="F13" s="78">
        <f>Sleutels!M31*('A Inzicht'!AF7+'A Inzicht'!AF8+'A Inzicht'!AF9+'A Inzicht'!AF10+'A Inzicht'!AF11+'A Inzicht'!AF12+'A Inzicht'!AF13+'A Inzicht'!AF40+'A Inzicht'!AF41+'A Inzicht'!AF42+'A Inzicht'!AF51+'A Inzicht'!AF52+'A Inzicht'!AF53+'A Inzicht'!AF54+'A Inzicht'!AF55+'A Inzicht'!AF56+'A Inzicht'!AF57+'A Inzicht'!AF58+'A Inzicht'!AF59+'A Inzicht'!AF60+'A Inzicht'!AF61)</f>
        <v>0</v>
      </c>
      <c r="G13" s="67"/>
      <c r="H13" s="79" t="e">
        <f>F13/F29</f>
        <v>#VALUE!</v>
      </c>
    </row>
    <row r="14" spans="1:15" ht="14.15" customHeight="1" x14ac:dyDescent="0.65">
      <c r="A14" s="67"/>
      <c r="B14" s="67"/>
      <c r="C14" s="67" t="s">
        <v>8</v>
      </c>
      <c r="D14" s="67"/>
      <c r="E14" s="67"/>
      <c r="F14" s="80">
        <f>Sleutels!M33*('A Inzicht'!AF24+'A Inzicht'!AF25+'A Inzicht'!AF26+'A Inzicht'!AF27+'A Inzicht'!AF28+'A Inzicht'!AF29+'A Inzicht'!AF30)</f>
        <v>0</v>
      </c>
      <c r="G14" s="67"/>
      <c r="H14" s="79" t="e">
        <f>F14/F29</f>
        <v>#VALUE!</v>
      </c>
    </row>
    <row r="15" spans="1:15" ht="14.15" customHeight="1" x14ac:dyDescent="0.65">
      <c r="A15" s="67"/>
      <c r="B15" s="67"/>
      <c r="C15" s="67" t="s">
        <v>143</v>
      </c>
      <c r="D15" s="67"/>
      <c r="E15" s="67"/>
      <c r="F15" s="80">
        <f>Sleutels!M34*('A Inzicht'!AF31+'A Inzicht'!AF32+'A Inzicht'!AF33+'A Inzicht'!AF43+'A Inzicht'!AF44+'A Inzicht'!AF45+'A Inzicht'!AF46+'A Inzicht'!AF47+'A Inzicht'!AF48)</f>
        <v>0</v>
      </c>
      <c r="G15" s="67"/>
      <c r="H15" s="79" t="e">
        <f>F15/F29</f>
        <v>#VALUE!</v>
      </c>
    </row>
    <row r="16" spans="1:15" ht="14.15" customHeight="1" x14ac:dyDescent="0.65">
      <c r="A16" s="67"/>
      <c r="B16" s="67"/>
      <c r="C16" s="67" t="s">
        <v>60</v>
      </c>
      <c r="D16" s="67"/>
      <c r="E16" s="67"/>
      <c r="F16" s="80">
        <f>Sleutels!M35*('A Inzicht'!AF36+'A Inzicht'!AF37+'A Inzicht'!AF38+'A Inzicht'!AF39)</f>
        <v>0</v>
      </c>
      <c r="G16" s="67"/>
      <c r="H16" s="79" t="e">
        <f>F16/F29</f>
        <v>#VALUE!</v>
      </c>
    </row>
    <row r="17" spans="1:8" ht="14.15" customHeight="1" x14ac:dyDescent="0.65">
      <c r="A17" s="67"/>
      <c r="B17" s="67"/>
      <c r="C17" s="67" t="s">
        <v>27</v>
      </c>
      <c r="D17" s="67"/>
      <c r="E17" s="67"/>
      <c r="F17" s="80">
        <f>Sleutels!M36*('A Inzicht'!AF62+'A Inzicht'!AF63+'A Inzicht'!AF64+'A Inzicht'!AF65+'A Inzicht'!AF66+'A Inzicht'!AF67+'A Inzicht'!AF68+'A Inzicht'!AF69+'A Inzicht'!AF70)</f>
        <v>0</v>
      </c>
      <c r="G17" s="67"/>
      <c r="H17" s="79" t="e">
        <f>F17/F29</f>
        <v>#VALUE!</v>
      </c>
    </row>
    <row r="18" spans="1:8" ht="14.15" customHeight="1" x14ac:dyDescent="0.65">
      <c r="A18" s="67"/>
      <c r="B18" s="67"/>
      <c r="C18" s="67"/>
      <c r="D18" s="67"/>
      <c r="E18" s="67"/>
      <c r="F18" s="68"/>
      <c r="G18" s="67"/>
      <c r="H18" s="79"/>
    </row>
    <row r="19" spans="1:8" ht="14.15" customHeight="1" x14ac:dyDescent="0.65">
      <c r="A19" s="72"/>
      <c r="B19" s="72" t="s">
        <v>63</v>
      </c>
      <c r="C19" s="72"/>
      <c r="D19" s="72"/>
      <c r="E19" s="73"/>
      <c r="F19" s="74"/>
      <c r="G19" s="75" t="e">
        <f>SUM(F20:F27)</f>
        <v>#VALUE!</v>
      </c>
      <c r="H19" s="76" t="e">
        <f>G19/F29</f>
        <v>#VALUE!</v>
      </c>
    </row>
    <row r="20" spans="1:8" s="77" customFormat="1" ht="14.15" customHeight="1" x14ac:dyDescent="0.65">
      <c r="A20" s="67"/>
      <c r="B20" s="67"/>
      <c r="C20" s="67" t="s">
        <v>155</v>
      </c>
      <c r="D20" s="67"/>
      <c r="E20" s="67"/>
      <c r="F20" s="78">
        <f>Sleutels!N31*('A Inzicht'!AF7+'A Inzicht'!AF8+'A Inzicht'!AF9+'A Inzicht'!AF10+'A Inzicht'!AF11+'A Inzicht'!AF12+'A Inzicht'!AF13+'A Inzicht'!AF40+'A Inzicht'!AF41+'A Inzicht'!AF42+'A Inzicht'!AF51+'A Inzicht'!AF52+'A Inzicht'!AF53+'A Inzicht'!AF54+'A Inzicht'!AF55+'A Inzicht'!AF56+'A Inzicht'!AF57+'A Inzicht'!AF58+'A Inzicht'!AF59+'A Inzicht'!AF60+'A Inzicht'!AF61)</f>
        <v>0</v>
      </c>
      <c r="G20" s="67"/>
      <c r="H20" s="79" t="e">
        <f>F20/F29</f>
        <v>#VALUE!</v>
      </c>
    </row>
    <row r="21" spans="1:8" ht="14.15" customHeight="1" x14ac:dyDescent="0.65">
      <c r="A21" s="67"/>
      <c r="B21" s="67"/>
      <c r="C21" s="67" t="s">
        <v>154</v>
      </c>
      <c r="D21" s="67"/>
      <c r="E21" s="67"/>
      <c r="F21" s="78">
        <f>'A Inzicht'!AF14+'A Inzicht'!AF15+'A Inzicht'!AF16+'A Inzicht'!AF17+'A Inzicht'!AF18+'A Inzicht'!AF19+'A Inzicht'!AF20</f>
        <v>0</v>
      </c>
      <c r="G21" s="67"/>
      <c r="H21" s="79" t="e">
        <f>F21/F29</f>
        <v>#VALUE!</v>
      </c>
    </row>
    <row r="22" spans="1:8" ht="14.15" customHeight="1" x14ac:dyDescent="0.65">
      <c r="A22" s="67"/>
      <c r="B22" s="67"/>
      <c r="C22" s="67" t="s">
        <v>48</v>
      </c>
      <c r="D22" s="67"/>
      <c r="E22" s="67"/>
      <c r="F22" s="78" t="e">
        <f>'A Inzicht'!AF21+'A Inzicht'!AF22+'A Inzicht'!AF23</f>
        <v>#VALUE!</v>
      </c>
      <c r="G22" s="67"/>
      <c r="H22" s="79" t="e">
        <f>F22/F29</f>
        <v>#VALUE!</v>
      </c>
    </row>
    <row r="23" spans="1:8" ht="14.15" customHeight="1" x14ac:dyDescent="0.65">
      <c r="A23" s="67"/>
      <c r="B23" s="67"/>
      <c r="C23" s="67" t="s">
        <v>8</v>
      </c>
      <c r="D23" s="67"/>
      <c r="E23" s="67"/>
      <c r="F23" s="80">
        <f>Sleutels!N33*('A Inzicht'!AF24+'A Inzicht'!AF25+'A Inzicht'!AF26+'A Inzicht'!AF27+'A Inzicht'!AF28+'A Inzicht'!AF29+'A Inzicht'!AF30)</f>
        <v>0</v>
      </c>
      <c r="G23" s="67"/>
      <c r="H23" s="79" t="e">
        <f>F23/F29</f>
        <v>#VALUE!</v>
      </c>
    </row>
    <row r="24" spans="1:8" ht="14.15" customHeight="1" x14ac:dyDescent="0.65">
      <c r="A24" s="67"/>
      <c r="B24" s="67"/>
      <c r="C24" s="67" t="s">
        <v>143</v>
      </c>
      <c r="D24" s="67"/>
      <c r="E24" s="67"/>
      <c r="F24" s="80">
        <f>Sleutels!N34*('A Inzicht'!AF31+'A Inzicht'!AF32+'A Inzicht'!AF33+'A Inzicht'!AF43+'A Inzicht'!AF44+'A Inzicht'!AF45+'A Inzicht'!AF46+'A Inzicht'!AF47+'A Inzicht'!AF48)</f>
        <v>0</v>
      </c>
      <c r="G24" s="67"/>
      <c r="H24" s="79" t="e">
        <f>F24/F29</f>
        <v>#VALUE!</v>
      </c>
    </row>
    <row r="25" spans="1:8" ht="14.15" customHeight="1" x14ac:dyDescent="0.65">
      <c r="A25" s="67"/>
      <c r="B25" s="67"/>
      <c r="C25" s="67" t="s">
        <v>60</v>
      </c>
      <c r="D25" s="67"/>
      <c r="E25" s="67"/>
      <c r="F25" s="80">
        <f>Sleutels!N35*('A Inzicht'!AF36+'A Inzicht'!AF37+'A Inzicht'!AF38+'A Inzicht'!AF39)</f>
        <v>0</v>
      </c>
      <c r="G25" s="67"/>
      <c r="H25" s="79" t="e">
        <f>F25/F29</f>
        <v>#VALUE!</v>
      </c>
    </row>
    <row r="26" spans="1:8" ht="14.15" customHeight="1" x14ac:dyDescent="0.65">
      <c r="A26" s="67"/>
      <c r="B26" s="67"/>
      <c r="C26" s="67" t="s">
        <v>27</v>
      </c>
      <c r="D26" s="67"/>
      <c r="E26" s="67"/>
      <c r="F26" s="80">
        <f>Sleutels!N36*('A Inzicht'!AF62+'A Inzicht'!AF63+'A Inzicht'!AF64+'A Inzicht'!AF65+'A Inzicht'!AF66+'A Inzicht'!AF67+'A Inzicht'!AF68+'A Inzicht'!AF69+'A Inzicht'!AF70)</f>
        <v>0</v>
      </c>
      <c r="G26" s="67"/>
      <c r="H26" s="79" t="e">
        <f>F26/F29</f>
        <v>#VALUE!</v>
      </c>
    </row>
    <row r="27" spans="1:8" ht="14.15" customHeight="1" x14ac:dyDescent="0.65">
      <c r="A27" s="67"/>
      <c r="B27" s="67"/>
      <c r="C27" s="67" t="s">
        <v>13</v>
      </c>
      <c r="D27" s="67"/>
      <c r="E27" s="67"/>
      <c r="F27" s="80">
        <f>'A Inzicht'!AF71+'A Inzicht'!AF72+'A Inzicht'!AF73</f>
        <v>0</v>
      </c>
      <c r="G27" s="67"/>
      <c r="H27" s="79" t="e">
        <f>F27/F29</f>
        <v>#VALUE!</v>
      </c>
    </row>
    <row r="28" spans="1:8" ht="14.15" customHeight="1" x14ac:dyDescent="0.65">
      <c r="A28" s="67"/>
      <c r="B28" s="67"/>
      <c r="C28" s="67"/>
      <c r="D28" s="67"/>
      <c r="E28" s="67"/>
      <c r="F28" s="68"/>
      <c r="G28" s="67"/>
      <c r="H28" s="79"/>
    </row>
    <row r="29" spans="1:8" ht="14.15" customHeight="1" x14ac:dyDescent="0.65">
      <c r="A29" s="67"/>
      <c r="B29" s="67"/>
      <c r="C29" s="67"/>
      <c r="D29" s="67"/>
      <c r="E29" s="73" t="s">
        <v>64</v>
      </c>
      <c r="F29" s="82" t="e">
        <f>G12+G19</f>
        <v>#VALUE!</v>
      </c>
      <c r="G29" s="72" t="s">
        <v>120</v>
      </c>
      <c r="H29" s="79"/>
    </row>
    <row r="30" spans="1:8" ht="14.15" customHeight="1" x14ac:dyDescent="0.65">
      <c r="A30" s="67"/>
      <c r="B30" s="67"/>
      <c r="C30" s="67"/>
      <c r="D30" s="67"/>
      <c r="E30" s="67"/>
      <c r="F30" s="68"/>
      <c r="G30" s="67"/>
      <c r="H30" s="79"/>
    </row>
    <row r="32" spans="1:8" ht="14.15" customHeight="1" x14ac:dyDescent="0.65">
      <c r="A32" s="59" t="s">
        <v>62</v>
      </c>
      <c r="F32" s="59"/>
      <c r="G32" s="83"/>
      <c r="H32" s="66"/>
    </row>
    <row r="33" spans="1:8" ht="14.15" customHeight="1" x14ac:dyDescent="0.65">
      <c r="D33" s="59" t="s">
        <v>121</v>
      </c>
      <c r="F33" s="59"/>
      <c r="G33" s="62">
        <f>G12/Sleutels!M7</f>
        <v>0</v>
      </c>
      <c r="H33" s="66" t="s">
        <v>120</v>
      </c>
    </row>
    <row r="34" spans="1:8" ht="14.15" customHeight="1" x14ac:dyDescent="0.65">
      <c r="D34" s="59" t="s">
        <v>135</v>
      </c>
      <c r="F34" s="59"/>
      <c r="G34" s="83">
        <f>G12/Sleutels!M6</f>
        <v>0</v>
      </c>
      <c r="H34" s="66" t="s">
        <v>120</v>
      </c>
    </row>
    <row r="35" spans="1:8" ht="14.15" customHeight="1" x14ac:dyDescent="0.65">
      <c r="A35" s="59" t="s">
        <v>63</v>
      </c>
      <c r="F35" s="59"/>
      <c r="G35" s="62"/>
      <c r="H35" s="66"/>
    </row>
    <row r="36" spans="1:8" ht="14.15" customHeight="1" x14ac:dyDescent="0.65">
      <c r="C36" s="84"/>
      <c r="D36" s="59" t="s">
        <v>121</v>
      </c>
      <c r="E36" s="84"/>
      <c r="F36" s="84"/>
      <c r="G36" s="83" t="e">
        <f>G19/Sleutels!M7</f>
        <v>#VALUE!</v>
      </c>
      <c r="H36" s="66" t="s">
        <v>120</v>
      </c>
    </row>
    <row r="37" spans="1:8" ht="14.15" customHeight="1" x14ac:dyDescent="0.65">
      <c r="C37" s="84"/>
      <c r="D37" s="59" t="s">
        <v>135</v>
      </c>
      <c r="E37" s="84"/>
      <c r="F37" s="84"/>
      <c r="G37" s="62" t="e">
        <f>G19/Sleutels!M6</f>
        <v>#VALUE!</v>
      </c>
      <c r="H37" s="66" t="s">
        <v>120</v>
      </c>
    </row>
    <row r="38" spans="1:8" ht="14.15" customHeight="1" x14ac:dyDescent="0.65">
      <c r="C38" s="85"/>
      <c r="D38" s="85"/>
    </row>
  </sheetData>
  <mergeCells count="2">
    <mergeCell ref="H2:I2"/>
    <mergeCell ref="F11:G11"/>
  </mergeCells>
  <pageMargins left="0.7" right="0.7" top="0.75" bottom="0.75" header="0.3" footer="0.3"/>
  <pageSetup paperSize="9" scale="80" orientation="landscape" horizontalDpi="0" verticalDpi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Q39"/>
  <sheetViews>
    <sheetView zoomScale="120" zoomScaleNormal="120" zoomScalePageLayoutView="130" workbookViewId="0">
      <selection activeCell="E9" sqref="E9"/>
    </sheetView>
  </sheetViews>
  <sheetFormatPr defaultColWidth="8.86328125" defaultRowHeight="14.15" customHeight="1" x14ac:dyDescent="0.65"/>
  <cols>
    <col min="1" max="1" width="1.26953125" style="59" customWidth="1"/>
    <col min="2" max="2" width="1.7265625" style="59" customWidth="1"/>
    <col min="3" max="3" width="10.86328125" style="59" customWidth="1"/>
    <col min="4" max="4" width="1.86328125" style="59" customWidth="1"/>
    <col min="5" max="5" width="20.7265625" style="59" customWidth="1"/>
    <col min="6" max="6" width="8" style="62" customWidth="1"/>
    <col min="7" max="7" width="8" style="59" customWidth="1"/>
    <col min="8" max="8" width="11.7265625" style="62" customWidth="1"/>
    <col min="9" max="26" width="7.40625" style="59" customWidth="1"/>
    <col min="27" max="16384" width="8.86328125" style="59"/>
  </cols>
  <sheetData>
    <row r="1" spans="1:15" s="55" customFormat="1" ht="14.15" customHeight="1" x14ac:dyDescent="0.75">
      <c r="F1" s="56"/>
      <c r="H1" s="57"/>
    </row>
    <row r="2" spans="1:15" s="55" customFormat="1" ht="14.15" customHeight="1" x14ac:dyDescent="0.75">
      <c r="B2" s="94" t="s">
        <v>24</v>
      </c>
      <c r="F2" s="56"/>
      <c r="H2" s="372" t="s">
        <v>119</v>
      </c>
      <c r="I2" s="373"/>
      <c r="K2" s="374" t="str" cm="1">
        <f t="array" aca="1" ref="K2" ca="1">MID(CELL("filename",$A$1),SEARCH("]", CELL("filename",$A$1))+1,999)</f>
        <v>2024 H2</v>
      </c>
      <c r="L2" s="374"/>
      <c r="M2" s="374"/>
    </row>
    <row r="3" spans="1:15" s="55" customFormat="1" ht="14.15" customHeight="1" x14ac:dyDescent="0.75">
      <c r="F3" s="56"/>
      <c r="G3" s="58"/>
      <c r="H3" s="57"/>
      <c r="J3" s="108" t="s">
        <v>105</v>
      </c>
    </row>
    <row r="4" spans="1:15" s="55" customFormat="1" ht="14.15" customHeight="1" x14ac:dyDescent="0.75">
      <c r="F4" s="56"/>
      <c r="H4" s="57"/>
    </row>
    <row r="6" spans="1:15" ht="14.15" customHeight="1" x14ac:dyDescent="0.7">
      <c r="B6" s="60" t="s">
        <v>5</v>
      </c>
      <c r="C6" s="61"/>
      <c r="D6" s="61"/>
      <c r="E6" s="61" t="str">
        <f>'2026 verdeling'!E6</f>
        <v>Vreugdenhil Berging</v>
      </c>
      <c r="G6" s="63"/>
      <c r="I6" s="81"/>
      <c r="O6" s="64" t="s">
        <v>4</v>
      </c>
    </row>
    <row r="7" spans="1:15" ht="14.15" customHeight="1" x14ac:dyDescent="0.65">
      <c r="B7" s="61" t="s">
        <v>6</v>
      </c>
      <c r="C7" s="61"/>
      <c r="D7" s="61"/>
      <c r="E7" s="164">
        <f>'2024 H1'!E7</f>
        <v>27183387</v>
      </c>
      <c r="F7" s="66"/>
    </row>
    <row r="8" spans="1:15" ht="14.15" customHeight="1" x14ac:dyDescent="0.65">
      <c r="B8" s="61" t="s">
        <v>11</v>
      </c>
      <c r="C8" s="61"/>
      <c r="D8" s="61"/>
      <c r="E8" s="65" t="s">
        <v>165</v>
      </c>
    </row>
    <row r="10" spans="1:15" ht="14.15" customHeight="1" x14ac:dyDescent="0.65">
      <c r="A10" s="67"/>
      <c r="B10" s="67"/>
      <c r="C10" s="67"/>
      <c r="D10" s="67"/>
      <c r="E10" s="67"/>
      <c r="F10" s="67"/>
      <c r="G10" s="67"/>
      <c r="H10" s="68"/>
    </row>
    <row r="11" spans="1:15" s="71" customFormat="1" ht="14.15" customHeight="1" x14ac:dyDescent="0.65">
      <c r="A11" s="69"/>
      <c r="B11" s="69"/>
      <c r="C11" s="69"/>
      <c r="D11" s="69"/>
      <c r="E11" s="69"/>
      <c r="F11" s="375" t="s">
        <v>120</v>
      </c>
      <c r="G11" s="375"/>
      <c r="H11" s="70" t="s">
        <v>7</v>
      </c>
    </row>
    <row r="12" spans="1:15" s="77" customFormat="1" ht="14.15" customHeight="1" x14ac:dyDescent="0.65">
      <c r="A12" s="72"/>
      <c r="B12" s="72" t="s">
        <v>1</v>
      </c>
      <c r="C12" s="72"/>
      <c r="D12" s="72"/>
      <c r="E12" s="73"/>
      <c r="F12" s="74"/>
      <c r="G12" s="75">
        <f>SUM(F13:F18)</f>
        <v>616.43246700000009</v>
      </c>
      <c r="H12" s="76">
        <f>G12/F30</f>
        <v>0.95659531796859487</v>
      </c>
    </row>
    <row r="13" spans="1:15" ht="14.15" customHeight="1" x14ac:dyDescent="0.65">
      <c r="A13" s="67"/>
      <c r="B13" s="67"/>
      <c r="C13" s="67" t="s">
        <v>155</v>
      </c>
      <c r="D13" s="67"/>
      <c r="E13" s="67"/>
      <c r="F13" s="78">
        <f>'A Inzicht'!P7+'A Inzicht'!P8+'A Inzicht'!P9+'A Inzicht'!P10+'A Inzicht'!P11+'A Inzicht'!P12+'A Inzicht'!P13</f>
        <v>8.2739930000000008</v>
      </c>
      <c r="G13" s="67"/>
      <c r="H13" s="79">
        <f>F13/F30</f>
        <v>1.2839789252542613E-2</v>
      </c>
    </row>
    <row r="14" spans="1:15" ht="14.15" customHeight="1" x14ac:dyDescent="0.65">
      <c r="A14" s="67"/>
      <c r="B14" s="67"/>
      <c r="C14" s="67" t="s">
        <v>154</v>
      </c>
      <c r="D14" s="67"/>
      <c r="E14" s="67"/>
      <c r="F14" s="78">
        <f>'A Inzicht'!P14+'A Inzicht'!P15+'A Inzicht'!P16+'A Inzicht'!P17+'A Inzicht'!P18+'A Inzicht'!P19+'A Inzicht'!P20</f>
        <v>583.77965800000004</v>
      </c>
      <c r="G14" s="67"/>
      <c r="H14" s="79">
        <f>F14/F30</f>
        <v>0.90592387238439787</v>
      </c>
    </row>
    <row r="15" spans="1:15" ht="14.15" customHeight="1" x14ac:dyDescent="0.65">
      <c r="A15" s="67"/>
      <c r="B15" s="67"/>
      <c r="C15" s="67" t="s">
        <v>48</v>
      </c>
      <c r="D15" s="67"/>
      <c r="E15" s="67"/>
      <c r="F15" s="78">
        <f>'A Inzicht'!P21+'A Inzicht'!P22+'A Inzicht'!P23</f>
        <v>0</v>
      </c>
      <c r="G15" s="67"/>
      <c r="H15" s="79">
        <f>F15/F30</f>
        <v>0</v>
      </c>
    </row>
    <row r="16" spans="1:15" ht="14.15" customHeight="1" x14ac:dyDescent="0.65">
      <c r="A16" s="67"/>
      <c r="B16" s="67"/>
      <c r="C16" s="67" t="s">
        <v>8</v>
      </c>
      <c r="D16" s="67"/>
      <c r="E16" s="67"/>
      <c r="F16" s="80">
        <f>'A Inzicht'!P24+'A Inzicht'!P25+'A Inzicht'!P26+'A Inzicht'!P27+'A Inzicht'!P28+'A Inzicht'!P29+'A Inzicht'!P30</f>
        <v>0</v>
      </c>
      <c r="G16" s="67"/>
      <c r="H16" s="79">
        <f>F16/F30</f>
        <v>0</v>
      </c>
    </row>
    <row r="17" spans="1:17" ht="14.15" customHeight="1" x14ac:dyDescent="0.65">
      <c r="A17" s="67"/>
      <c r="B17" s="67"/>
      <c r="C17" s="67" t="s">
        <v>143</v>
      </c>
      <c r="D17" s="67"/>
      <c r="E17" s="67"/>
      <c r="F17" s="80">
        <f>'A Inzicht'!P31+'A Inzicht'!P32+'A Inzicht'!P33</f>
        <v>24.378816</v>
      </c>
      <c r="G17" s="67"/>
      <c r="H17" s="79">
        <f>F17/F30</f>
        <v>3.7831656331654355E-2</v>
      </c>
    </row>
    <row r="18" spans="1:17" ht="14.15" customHeight="1" x14ac:dyDescent="0.65">
      <c r="A18" s="67"/>
      <c r="B18" s="67"/>
      <c r="C18" s="67"/>
      <c r="D18" s="67"/>
      <c r="E18" s="67"/>
      <c r="F18" s="68"/>
      <c r="G18" s="67"/>
      <c r="H18" s="79"/>
    </row>
    <row r="19" spans="1:17" s="77" customFormat="1" ht="14.15" customHeight="1" x14ac:dyDescent="0.65">
      <c r="A19" s="72"/>
      <c r="B19" s="72" t="s">
        <v>0</v>
      </c>
      <c r="C19" s="72"/>
      <c r="D19" s="72"/>
      <c r="E19" s="73"/>
      <c r="F19" s="74"/>
      <c r="G19" s="75">
        <f>SUM(F20:F23)</f>
        <v>27.970088000000001</v>
      </c>
      <c r="H19" s="76">
        <f>G19/F30</f>
        <v>4.3404682031405038E-2</v>
      </c>
    </row>
    <row r="20" spans="1:17" ht="14.15" customHeight="1" x14ac:dyDescent="0.65">
      <c r="A20" s="67"/>
      <c r="B20" s="67"/>
      <c r="C20" s="67" t="s">
        <v>60</v>
      </c>
      <c r="D20" s="67"/>
      <c r="E20" s="67"/>
      <c r="F20" s="80">
        <f>'A Inzicht'!P36+'A Inzicht'!P37+'A Inzicht'!P38+'A Inzicht'!P39</f>
        <v>27.970088000000001</v>
      </c>
      <c r="G20" s="67"/>
      <c r="H20" s="79">
        <f>F20/F30</f>
        <v>4.3404682031405038E-2</v>
      </c>
    </row>
    <row r="21" spans="1:17" ht="14.15" customHeight="1" x14ac:dyDescent="0.65">
      <c r="A21" s="67"/>
      <c r="B21" s="67"/>
      <c r="C21" s="67" t="s">
        <v>79</v>
      </c>
      <c r="D21" s="67"/>
      <c r="E21" s="67"/>
      <c r="F21" s="80">
        <f>'A Inzicht'!P40+'A Inzicht'!P41+'A Inzicht'!P42</f>
        <v>0</v>
      </c>
      <c r="G21" s="67"/>
      <c r="H21" s="79">
        <f>F21/F30</f>
        <v>0</v>
      </c>
    </row>
    <row r="22" spans="1:17" ht="14.15" customHeight="1" x14ac:dyDescent="0.65">
      <c r="A22" s="67"/>
      <c r="B22" s="67"/>
      <c r="C22" s="67" t="s">
        <v>59</v>
      </c>
      <c r="D22" s="67"/>
      <c r="E22" s="67"/>
      <c r="F22" s="80">
        <f>'A Inzicht'!P43+'A Inzicht'!P44+'A Inzicht'!P45+'A Inzicht'!P46+'A Inzicht'!P47+'A Inzicht'!P48</f>
        <v>0</v>
      </c>
      <c r="G22" s="67"/>
      <c r="H22" s="79">
        <f>F22/F30</f>
        <v>0</v>
      </c>
    </row>
    <row r="23" spans="1:17" ht="14.15" customHeight="1" x14ac:dyDescent="0.65">
      <c r="A23" s="67"/>
      <c r="B23" s="67"/>
      <c r="C23" s="67"/>
      <c r="D23" s="67"/>
      <c r="E23" s="67"/>
      <c r="F23" s="68"/>
      <c r="G23" s="67"/>
      <c r="H23" s="79"/>
    </row>
    <row r="24" spans="1:17" ht="14.15" customHeight="1" x14ac:dyDescent="0.65">
      <c r="A24" s="67"/>
      <c r="B24" s="72" t="s">
        <v>93</v>
      </c>
      <c r="C24" s="67"/>
      <c r="D24" s="67"/>
      <c r="E24" s="67"/>
      <c r="F24" s="68"/>
      <c r="G24" s="75">
        <f>SUM(F25:F29)</f>
        <v>0</v>
      </c>
      <c r="H24" s="76">
        <f>G24/F30</f>
        <v>0</v>
      </c>
    </row>
    <row r="25" spans="1:17" ht="14.15" customHeight="1" x14ac:dyDescent="0.65">
      <c r="A25" s="67"/>
      <c r="B25" s="67"/>
      <c r="C25" s="67" t="s">
        <v>25</v>
      </c>
      <c r="D25" s="67"/>
      <c r="E25" s="67"/>
      <c r="F25" s="80">
        <f>'A Inzicht'!P51+'A Inzicht'!P52+'A Inzicht'!P53+'A Inzicht'!P54+'A Inzicht'!P55+'A Inzicht'!P56+'A Inzicht'!P57+'A Inzicht'!P58+'A Inzicht'!P59+'A Inzicht'!P60+'A Inzicht'!P61</f>
        <v>0</v>
      </c>
      <c r="G25" s="67"/>
      <c r="H25" s="79">
        <f>F25/F30</f>
        <v>0</v>
      </c>
    </row>
    <row r="26" spans="1:17" ht="14.15" customHeight="1" x14ac:dyDescent="0.65">
      <c r="A26" s="67"/>
      <c r="B26" s="67"/>
      <c r="C26" s="67" t="s">
        <v>27</v>
      </c>
      <c r="D26" s="67"/>
      <c r="E26" s="67"/>
      <c r="F26" s="80">
        <f>'A Inzicht'!P62+'A Inzicht'!P63+'A Inzicht'!P64+'A Inzicht'!P65+'A Inzicht'!P66+'A Inzicht'!P67+'A Inzicht'!P68+'A Inzicht'!P69+'A Inzicht'!P70</f>
        <v>0</v>
      </c>
      <c r="G26" s="67"/>
      <c r="H26" s="79">
        <f>F26/F30</f>
        <v>0</v>
      </c>
      <c r="Q26" s="81"/>
    </row>
    <row r="27" spans="1:17" ht="14.15" customHeight="1" x14ac:dyDescent="0.65">
      <c r="A27" s="67"/>
      <c r="B27" s="67"/>
      <c r="C27" s="67" t="s">
        <v>13</v>
      </c>
      <c r="D27" s="67"/>
      <c r="E27" s="67"/>
      <c r="F27" s="80">
        <f>'A Inzicht'!P71+'A Inzicht'!P72+'A Inzicht'!P73</f>
        <v>0</v>
      </c>
      <c r="G27" s="67"/>
      <c r="H27" s="79">
        <f>F27/F30</f>
        <v>0</v>
      </c>
    </row>
    <row r="28" spans="1:17" ht="14.15" customHeight="1" x14ac:dyDescent="0.65">
      <c r="A28" s="67"/>
      <c r="B28" s="67"/>
      <c r="C28" s="67" t="s">
        <v>30</v>
      </c>
      <c r="D28" s="67"/>
      <c r="E28" s="67"/>
      <c r="F28" s="80">
        <f>'A Inzicht'!P74+'A Inzicht'!P75</f>
        <v>0</v>
      </c>
      <c r="G28" s="67"/>
      <c r="H28" s="79">
        <f>F28/F30</f>
        <v>0</v>
      </c>
      <c r="Q28" s="81"/>
    </row>
    <row r="29" spans="1:17" ht="14.15" customHeight="1" x14ac:dyDescent="0.65">
      <c r="A29" s="67"/>
      <c r="B29" s="67"/>
      <c r="C29" s="67"/>
      <c r="D29" s="67"/>
      <c r="E29" s="67"/>
      <c r="F29" s="68"/>
      <c r="G29" s="67"/>
      <c r="H29" s="79"/>
    </row>
    <row r="30" spans="1:17" ht="14.15" customHeight="1" x14ac:dyDescent="0.65">
      <c r="A30" s="67"/>
      <c r="B30" s="67"/>
      <c r="C30" s="67"/>
      <c r="D30" s="67"/>
      <c r="E30" s="73" t="s">
        <v>20</v>
      </c>
      <c r="F30" s="82">
        <f>G12+G19+G24</f>
        <v>644.40255500000012</v>
      </c>
      <c r="G30" s="72" t="s">
        <v>120</v>
      </c>
      <c r="H30" s="79"/>
    </row>
    <row r="31" spans="1:17" ht="14.15" customHeight="1" x14ac:dyDescent="0.65">
      <c r="A31" s="67"/>
      <c r="B31" s="67"/>
      <c r="C31" s="67"/>
      <c r="D31" s="67"/>
      <c r="E31" s="67"/>
      <c r="F31" s="68"/>
      <c r="G31" s="67"/>
      <c r="H31" s="79"/>
    </row>
    <row r="33" spans="1:8" ht="14.15" customHeight="1" x14ac:dyDescent="0.65">
      <c r="A33" s="59" t="s">
        <v>21</v>
      </c>
      <c r="D33" s="59" t="s">
        <v>135</v>
      </c>
      <c r="F33" s="59"/>
      <c r="G33" s="93">
        <f>G12/Sleutels!F6</f>
        <v>94.835764153846171</v>
      </c>
      <c r="H33" s="66" t="s">
        <v>120</v>
      </c>
    </row>
    <row r="34" spans="1:8" ht="14.15" customHeight="1" x14ac:dyDescent="0.65">
      <c r="D34" s="59" t="s">
        <v>121</v>
      </c>
      <c r="F34" s="59"/>
      <c r="G34" s="93">
        <f>G12/(Sleutels!F7/2)</f>
        <v>14.170861310344829</v>
      </c>
      <c r="H34" s="66" t="s">
        <v>120</v>
      </c>
    </row>
    <row r="35" spans="1:8" ht="14.15" customHeight="1" x14ac:dyDescent="0.65">
      <c r="A35" s="59" t="s">
        <v>137</v>
      </c>
    </row>
    <row r="36" spans="1:8" ht="14.15" customHeight="1" x14ac:dyDescent="0.65">
      <c r="D36" s="59" t="s">
        <v>135</v>
      </c>
      <c r="F36" s="59"/>
      <c r="G36" s="93">
        <f>(G19+G24)/Sleutels!F6</f>
        <v>4.3030904615384618</v>
      </c>
      <c r="H36" s="66" t="s">
        <v>120</v>
      </c>
    </row>
    <row r="37" spans="1:8" ht="14.15" customHeight="1" x14ac:dyDescent="0.65">
      <c r="A37" s="84"/>
      <c r="D37" s="59" t="s">
        <v>121</v>
      </c>
      <c r="F37" s="59"/>
      <c r="G37" s="93">
        <f>(G19+G24)/(Sleutels!F7/2)</f>
        <v>0.64299052873563223</v>
      </c>
      <c r="H37" s="66" t="s">
        <v>120</v>
      </c>
    </row>
    <row r="38" spans="1:8" ht="14.15" customHeight="1" x14ac:dyDescent="0.65">
      <c r="C38" s="84"/>
      <c r="E38" s="84"/>
      <c r="F38" s="84"/>
      <c r="G38" s="93"/>
      <c r="H38" s="66"/>
    </row>
    <row r="39" spans="1:8" ht="14.15" customHeight="1" x14ac:dyDescent="0.65">
      <c r="C39" s="85"/>
      <c r="D39" s="85"/>
    </row>
  </sheetData>
  <mergeCells count="3">
    <mergeCell ref="H2:I2"/>
    <mergeCell ref="K2:M2"/>
    <mergeCell ref="F11:G11"/>
  </mergeCells>
  <phoneticPr fontId="2" type="noConversion"/>
  <pageMargins left="0.7" right="0.7" top="0.75" bottom="0.75" header="0.3" footer="0.3"/>
  <pageSetup paperSize="9" scale="80" orientation="landscape" horizontalDpi="4294967293" verticalDpi="4294967293" r:id="rId1"/>
  <drawing r:id="rId2"/>
  <extLst>
    <ext xmlns:mx="http://schemas.microsoft.com/office/mac/excel/2008/main" uri="{64002731-A6B0-56B0-2670-7721B7C09600}">
      <mx:PLV Mode="1" OnePage="0" WScale="10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  <pageSetUpPr fitToPage="1"/>
  </sheetPr>
  <dimension ref="A1:Q39"/>
  <sheetViews>
    <sheetView zoomScale="120" zoomScaleNormal="120" zoomScalePageLayoutView="120" workbookViewId="0">
      <selection activeCell="E9" sqref="E9"/>
    </sheetView>
  </sheetViews>
  <sheetFormatPr defaultColWidth="8.86328125" defaultRowHeight="14.15" customHeight="1" x14ac:dyDescent="0.65"/>
  <cols>
    <col min="1" max="1" width="1.26953125" style="59" customWidth="1"/>
    <col min="2" max="2" width="1.7265625" style="59" customWidth="1"/>
    <col min="3" max="3" width="10.86328125" style="59" customWidth="1"/>
    <col min="4" max="4" width="1.86328125" style="59" customWidth="1"/>
    <col min="5" max="5" width="20.7265625" style="59" customWidth="1"/>
    <col min="6" max="6" width="8" style="62" customWidth="1"/>
    <col min="7" max="7" width="8" style="59" customWidth="1"/>
    <col min="8" max="8" width="11.7265625" style="62" customWidth="1"/>
    <col min="9" max="26" width="7.40625" style="59" customWidth="1"/>
    <col min="27" max="16384" width="8.86328125" style="59"/>
  </cols>
  <sheetData>
    <row r="1" spans="1:15" s="55" customFormat="1" ht="14.15" customHeight="1" x14ac:dyDescent="0.75">
      <c r="F1" s="56"/>
      <c r="H1" s="57"/>
    </row>
    <row r="2" spans="1:15" s="55" customFormat="1" ht="14.15" customHeight="1" x14ac:dyDescent="0.75">
      <c r="B2" s="94" t="s">
        <v>24</v>
      </c>
      <c r="F2" s="56"/>
      <c r="H2" s="372" t="s">
        <v>119</v>
      </c>
      <c r="I2" s="373"/>
      <c r="K2" s="374" t="str" cm="1">
        <f t="array" aca="1" ref="K2" ca="1">MID(CELL("filename",$A$1),SEARCH("]", CELL("filename",$A$1))+1,999)</f>
        <v>2025 H2</v>
      </c>
      <c r="L2" s="374"/>
      <c r="M2" s="374"/>
    </row>
    <row r="3" spans="1:15" s="55" customFormat="1" ht="14.15" customHeight="1" x14ac:dyDescent="0.75">
      <c r="F3" s="56"/>
      <c r="G3" s="58"/>
      <c r="H3" s="57"/>
      <c r="J3" s="108" t="s">
        <v>105</v>
      </c>
    </row>
    <row r="4" spans="1:15" s="55" customFormat="1" ht="14.15" customHeight="1" x14ac:dyDescent="0.75">
      <c r="F4" s="56"/>
      <c r="H4" s="57"/>
    </row>
    <row r="6" spans="1:15" ht="14.15" customHeight="1" x14ac:dyDescent="0.7">
      <c r="B6" s="60" t="s">
        <v>5</v>
      </c>
      <c r="C6" s="61"/>
      <c r="D6" s="61"/>
      <c r="E6" s="61" t="str">
        <f>'2024 H2'!E6</f>
        <v>Vreugdenhil Berging</v>
      </c>
      <c r="F6" s="66"/>
      <c r="G6" s="63"/>
      <c r="O6" s="64" t="s">
        <v>4</v>
      </c>
    </row>
    <row r="7" spans="1:15" ht="14.15" customHeight="1" x14ac:dyDescent="0.65">
      <c r="B7" s="61" t="s">
        <v>6</v>
      </c>
      <c r="C7" s="61"/>
      <c r="D7" s="61"/>
      <c r="E7" s="164">
        <f>'2024 H1'!E7</f>
        <v>27183387</v>
      </c>
      <c r="F7" s="66"/>
    </row>
    <row r="8" spans="1:15" ht="14.15" customHeight="1" x14ac:dyDescent="0.65">
      <c r="B8" s="61" t="s">
        <v>11</v>
      </c>
      <c r="C8" s="61"/>
      <c r="D8" s="61"/>
      <c r="E8" s="65" t="s">
        <v>165</v>
      </c>
      <c r="F8" s="66"/>
      <c r="G8" s="81"/>
    </row>
    <row r="10" spans="1:15" ht="14.15" customHeight="1" x14ac:dyDescent="0.65">
      <c r="A10" s="67"/>
      <c r="B10" s="67"/>
      <c r="C10" s="67"/>
      <c r="D10" s="67"/>
      <c r="E10" s="67"/>
      <c r="F10" s="67"/>
      <c r="G10" s="67"/>
      <c r="H10" s="68"/>
    </row>
    <row r="11" spans="1:15" s="71" customFormat="1" ht="14.15" customHeight="1" x14ac:dyDescent="0.65">
      <c r="A11" s="69"/>
      <c r="B11" s="69"/>
      <c r="C11" s="69"/>
      <c r="D11" s="69"/>
      <c r="E11" s="69"/>
      <c r="F11" s="375" t="s">
        <v>120</v>
      </c>
      <c r="G11" s="375"/>
      <c r="H11" s="70" t="s">
        <v>7</v>
      </c>
    </row>
    <row r="12" spans="1:15" s="77" customFormat="1" ht="14.15" customHeight="1" x14ac:dyDescent="0.65">
      <c r="A12" s="72"/>
      <c r="B12" s="72" t="s">
        <v>1</v>
      </c>
      <c r="C12" s="72"/>
      <c r="D12" s="72"/>
      <c r="E12" s="73"/>
      <c r="F12" s="74"/>
      <c r="G12" s="75">
        <f>SUM(F13:F18)</f>
        <v>0</v>
      </c>
      <c r="H12" s="76" t="e">
        <f>G12/F30</f>
        <v>#DIV/0!</v>
      </c>
    </row>
    <row r="13" spans="1:15" ht="14.15" customHeight="1" x14ac:dyDescent="0.65">
      <c r="A13" s="67"/>
      <c r="B13" s="67"/>
      <c r="C13" s="67" t="s">
        <v>155</v>
      </c>
      <c r="D13" s="67"/>
      <c r="E13" s="67"/>
      <c r="F13" s="78">
        <f>'A Inzicht'!W7+'A Inzicht'!W8+'A Inzicht'!W9+'A Inzicht'!W10+'A Inzicht'!W11+'A Inzicht'!W12+'A Inzicht'!W13</f>
        <v>0</v>
      </c>
      <c r="G13" s="67"/>
      <c r="H13" s="79" t="e">
        <f>F13/F30</f>
        <v>#DIV/0!</v>
      </c>
    </row>
    <row r="14" spans="1:15" ht="14.15" customHeight="1" x14ac:dyDescent="0.65">
      <c r="A14" s="67"/>
      <c r="B14" s="67"/>
      <c r="C14" s="67" t="s">
        <v>154</v>
      </c>
      <c r="D14" s="67"/>
      <c r="E14" s="67"/>
      <c r="F14" s="78">
        <f>'A Inzicht'!W14+'A Inzicht'!W15+'A Inzicht'!W16+'A Inzicht'!W17+'A Inzicht'!W18+'A Inzicht'!W19+'A Inzicht'!W20</f>
        <v>0</v>
      </c>
      <c r="G14" s="67"/>
      <c r="H14" s="79" t="e">
        <f>F14/F30</f>
        <v>#DIV/0!</v>
      </c>
    </row>
    <row r="15" spans="1:15" ht="14.15" customHeight="1" x14ac:dyDescent="0.65">
      <c r="A15" s="67"/>
      <c r="B15" s="67"/>
      <c r="C15" s="67" t="s">
        <v>48</v>
      </c>
      <c r="D15" s="67"/>
      <c r="E15" s="67"/>
      <c r="F15" s="78">
        <f>'A Inzicht'!W21+'A Inzicht'!W22+'A Inzicht'!W23</f>
        <v>0</v>
      </c>
      <c r="G15" s="67"/>
      <c r="H15" s="79" t="e">
        <f>F15/F30</f>
        <v>#DIV/0!</v>
      </c>
    </row>
    <row r="16" spans="1:15" ht="14.15" customHeight="1" x14ac:dyDescent="0.65">
      <c r="A16" s="67"/>
      <c r="B16" s="67"/>
      <c r="C16" s="67" t="s">
        <v>8</v>
      </c>
      <c r="D16" s="67"/>
      <c r="E16" s="67"/>
      <c r="F16" s="80">
        <f>'A Inzicht'!W24+'A Inzicht'!W25+'A Inzicht'!W26+'A Inzicht'!W27+'A Inzicht'!W28+'A Inzicht'!W29+'A Inzicht'!W30</f>
        <v>0</v>
      </c>
      <c r="G16" s="67"/>
      <c r="H16" s="79" t="e">
        <f>F16/F30</f>
        <v>#DIV/0!</v>
      </c>
    </row>
    <row r="17" spans="1:17" ht="14.15" customHeight="1" x14ac:dyDescent="0.65">
      <c r="A17" s="67"/>
      <c r="B17" s="67"/>
      <c r="C17" s="67" t="s">
        <v>143</v>
      </c>
      <c r="D17" s="67"/>
      <c r="E17" s="67"/>
      <c r="F17" s="80">
        <f>'A Inzicht'!W31+'A Inzicht'!W32+'A Inzicht'!W33</f>
        <v>0</v>
      </c>
      <c r="G17" s="67"/>
      <c r="H17" s="79" t="e">
        <f>F17/F30</f>
        <v>#DIV/0!</v>
      </c>
    </row>
    <row r="18" spans="1:17" ht="14.15" customHeight="1" x14ac:dyDescent="0.65">
      <c r="A18" s="67"/>
      <c r="B18" s="67"/>
      <c r="C18" s="67"/>
      <c r="D18" s="67"/>
      <c r="E18" s="67"/>
      <c r="F18" s="68"/>
      <c r="G18" s="67"/>
      <c r="H18" s="79"/>
    </row>
    <row r="19" spans="1:17" s="77" customFormat="1" ht="14.15" customHeight="1" x14ac:dyDescent="0.65">
      <c r="A19" s="72"/>
      <c r="B19" s="72" t="s">
        <v>0</v>
      </c>
      <c r="C19" s="72"/>
      <c r="D19" s="72"/>
      <c r="E19" s="73"/>
      <c r="F19" s="74"/>
      <c r="G19" s="75">
        <f>SUM(F20:F23)</f>
        <v>0</v>
      </c>
      <c r="H19" s="76" t="e">
        <f>G19/F30</f>
        <v>#DIV/0!</v>
      </c>
    </row>
    <row r="20" spans="1:17" ht="14.15" customHeight="1" x14ac:dyDescent="0.65">
      <c r="A20" s="67"/>
      <c r="B20" s="67"/>
      <c r="C20" s="67" t="s">
        <v>60</v>
      </c>
      <c r="D20" s="67"/>
      <c r="E20" s="67"/>
      <c r="F20" s="80">
        <f>'A Inzicht'!W36+'A Inzicht'!W37+'A Inzicht'!W38+'A Inzicht'!W39</f>
        <v>0</v>
      </c>
      <c r="G20" s="67"/>
      <c r="H20" s="79" t="e">
        <f>F20/F30</f>
        <v>#DIV/0!</v>
      </c>
    </row>
    <row r="21" spans="1:17" ht="14.15" customHeight="1" x14ac:dyDescent="0.65">
      <c r="A21" s="67"/>
      <c r="B21" s="67"/>
      <c r="C21" s="67" t="s">
        <v>79</v>
      </c>
      <c r="D21" s="67"/>
      <c r="E21" s="67"/>
      <c r="F21" s="80">
        <f>'A Inzicht'!W40+'A Inzicht'!W41+'A Inzicht'!W42</f>
        <v>0</v>
      </c>
      <c r="G21" s="67"/>
      <c r="H21" s="79" t="e">
        <f>F21/F30</f>
        <v>#DIV/0!</v>
      </c>
    </row>
    <row r="22" spans="1:17" ht="14.15" customHeight="1" x14ac:dyDescent="0.65">
      <c r="A22" s="67"/>
      <c r="B22" s="67"/>
      <c r="C22" s="67" t="s">
        <v>59</v>
      </c>
      <c r="D22" s="67"/>
      <c r="E22" s="67"/>
      <c r="F22" s="80">
        <f>'A Inzicht'!W43+'A Inzicht'!W44+'A Inzicht'!W45+'A Inzicht'!W46+'A Inzicht'!W47+'A Inzicht'!W47+'A Inzicht'!W48</f>
        <v>0</v>
      </c>
      <c r="G22" s="67"/>
      <c r="H22" s="79" t="e">
        <f>F22/F30</f>
        <v>#DIV/0!</v>
      </c>
    </row>
    <row r="23" spans="1:17" ht="14.15" customHeight="1" x14ac:dyDescent="0.65">
      <c r="A23" s="67"/>
      <c r="B23" s="67"/>
      <c r="C23" s="67"/>
      <c r="D23" s="67"/>
      <c r="E23" s="67"/>
      <c r="F23" s="68"/>
      <c r="G23" s="67"/>
      <c r="H23" s="79"/>
    </row>
    <row r="24" spans="1:17" ht="14.15" customHeight="1" x14ac:dyDescent="0.65">
      <c r="A24" s="67"/>
      <c r="B24" s="72" t="s">
        <v>93</v>
      </c>
      <c r="C24" s="67"/>
      <c r="D24" s="67"/>
      <c r="E24" s="67"/>
      <c r="F24" s="68"/>
      <c r="G24" s="75">
        <f>SUM(F25:F29)</f>
        <v>0</v>
      </c>
      <c r="H24" s="76" t="e">
        <f>G24/F30</f>
        <v>#DIV/0!</v>
      </c>
    </row>
    <row r="25" spans="1:17" ht="14.15" customHeight="1" x14ac:dyDescent="0.65">
      <c r="A25" s="67"/>
      <c r="B25" s="67"/>
      <c r="C25" s="67" t="s">
        <v>25</v>
      </c>
      <c r="D25" s="67"/>
      <c r="E25" s="67"/>
      <c r="F25" s="80">
        <f>'A Inzicht'!W51+'A Inzicht'!W52+'A Inzicht'!W53+'A Inzicht'!W54+'A Inzicht'!W55+'A Inzicht'!W56+'A Inzicht'!W57+'A Inzicht'!W58+'A Inzicht'!W59+'A Inzicht'!W60+'A Inzicht'!W61</f>
        <v>0</v>
      </c>
      <c r="G25" s="67"/>
      <c r="H25" s="79" t="e">
        <f>F25/F30</f>
        <v>#DIV/0!</v>
      </c>
    </row>
    <row r="26" spans="1:17" ht="14.15" customHeight="1" x14ac:dyDescent="0.65">
      <c r="A26" s="67"/>
      <c r="B26" s="67"/>
      <c r="C26" s="67" t="s">
        <v>27</v>
      </c>
      <c r="D26" s="67"/>
      <c r="E26" s="67"/>
      <c r="F26" s="80">
        <f>'A Inzicht'!W62+'A Inzicht'!W63+'A Inzicht'!W64+'A Inzicht'!W65+'A Inzicht'!W66+'A Inzicht'!W67+'A Inzicht'!W68+'A Inzicht'!W69+'A Inzicht'!W70</f>
        <v>0</v>
      </c>
      <c r="G26" s="67"/>
      <c r="H26" s="79" t="e">
        <f>F26/F30</f>
        <v>#DIV/0!</v>
      </c>
      <c r="Q26" s="81"/>
    </row>
    <row r="27" spans="1:17" ht="14.15" customHeight="1" x14ac:dyDescent="0.65">
      <c r="A27" s="67"/>
      <c r="B27" s="67"/>
      <c r="C27" s="67" t="s">
        <v>13</v>
      </c>
      <c r="D27" s="67"/>
      <c r="E27" s="67"/>
      <c r="F27" s="80">
        <f>'A Inzicht'!W71+'A Inzicht'!W72+'A Inzicht'!W73</f>
        <v>0</v>
      </c>
      <c r="G27" s="67"/>
      <c r="H27" s="79" t="e">
        <f>F27/F30</f>
        <v>#DIV/0!</v>
      </c>
    </row>
    <row r="28" spans="1:17" ht="14.15" customHeight="1" x14ac:dyDescent="0.65">
      <c r="A28" s="67"/>
      <c r="B28" s="67"/>
      <c r="C28" s="67" t="s">
        <v>30</v>
      </c>
      <c r="D28" s="67"/>
      <c r="E28" s="67"/>
      <c r="F28" s="80">
        <f>'A Inzicht'!W74+'A Inzicht'!W75</f>
        <v>0</v>
      </c>
      <c r="G28" s="67"/>
      <c r="H28" s="79" t="e">
        <f>F28/F30</f>
        <v>#DIV/0!</v>
      </c>
      <c r="Q28" s="81"/>
    </row>
    <row r="29" spans="1:17" ht="14.15" customHeight="1" x14ac:dyDescent="0.65">
      <c r="A29" s="67"/>
      <c r="B29" s="67"/>
      <c r="C29" s="67"/>
      <c r="D29" s="67"/>
      <c r="E29" s="67"/>
      <c r="F29" s="68"/>
      <c r="G29" s="67"/>
      <c r="H29" s="79"/>
    </row>
    <row r="30" spans="1:17" ht="14.15" customHeight="1" x14ac:dyDescent="0.65">
      <c r="A30" s="67"/>
      <c r="B30" s="67"/>
      <c r="C30" s="67"/>
      <c r="D30" s="67"/>
      <c r="E30" s="73" t="s">
        <v>20</v>
      </c>
      <c r="F30" s="82">
        <f>G12+G19+G24</f>
        <v>0</v>
      </c>
      <c r="G30" s="72" t="s">
        <v>120</v>
      </c>
      <c r="H30" s="79"/>
    </row>
    <row r="31" spans="1:17" ht="14.15" customHeight="1" x14ac:dyDescent="0.65">
      <c r="A31" s="67"/>
      <c r="B31" s="67"/>
      <c r="C31" s="67"/>
      <c r="D31" s="67"/>
      <c r="E31" s="67"/>
      <c r="F31" s="68"/>
      <c r="G31" s="67"/>
      <c r="H31" s="79"/>
    </row>
    <row r="33" spans="1:8" ht="14.15" customHeight="1" x14ac:dyDescent="0.65">
      <c r="A33" s="59" t="s">
        <v>21</v>
      </c>
      <c r="D33" s="59" t="s">
        <v>135</v>
      </c>
      <c r="F33" s="59"/>
      <c r="G33" s="93">
        <f>G12/Sleutels!I6</f>
        <v>0</v>
      </c>
      <c r="H33" s="66" t="s">
        <v>120</v>
      </c>
    </row>
    <row r="34" spans="1:8" ht="14.15" customHeight="1" x14ac:dyDescent="0.65">
      <c r="D34" s="59" t="s">
        <v>121</v>
      </c>
      <c r="F34" s="59"/>
      <c r="G34" s="93">
        <f>G12/(Sleutels!I7/2)</f>
        <v>0</v>
      </c>
      <c r="H34" s="66" t="s">
        <v>120</v>
      </c>
    </row>
    <row r="35" spans="1:8" ht="14.15" customHeight="1" x14ac:dyDescent="0.65">
      <c r="A35" s="59" t="s">
        <v>137</v>
      </c>
    </row>
    <row r="36" spans="1:8" ht="14.15" customHeight="1" x14ac:dyDescent="0.65">
      <c r="D36" s="59" t="s">
        <v>135</v>
      </c>
      <c r="F36" s="59"/>
      <c r="G36" s="93">
        <f>(G19+G24)/Sleutels!I6</f>
        <v>0</v>
      </c>
      <c r="H36" s="66" t="s">
        <v>120</v>
      </c>
    </row>
    <row r="37" spans="1:8" ht="14.15" customHeight="1" x14ac:dyDescent="0.65">
      <c r="A37" s="84"/>
      <c r="D37" s="59" t="s">
        <v>121</v>
      </c>
      <c r="F37" s="59"/>
      <c r="G37" s="93">
        <f>(G19+G24)/(Sleutels!I7/2)</f>
        <v>0</v>
      </c>
      <c r="H37" s="66" t="s">
        <v>120</v>
      </c>
    </row>
    <row r="38" spans="1:8" ht="14.15" customHeight="1" x14ac:dyDescent="0.65">
      <c r="C38" s="84"/>
      <c r="E38" s="84"/>
      <c r="F38" s="84"/>
      <c r="G38" s="93"/>
      <c r="H38" s="66"/>
    </row>
    <row r="39" spans="1:8" ht="14.15" customHeight="1" x14ac:dyDescent="0.65">
      <c r="C39" s="85"/>
      <c r="D39" s="85"/>
    </row>
  </sheetData>
  <mergeCells count="3">
    <mergeCell ref="H2:I2"/>
    <mergeCell ref="K2:M2"/>
    <mergeCell ref="F11:G11"/>
  </mergeCells>
  <phoneticPr fontId="2" type="noConversion"/>
  <pageMargins left="0.7" right="0.7" top="0.75" bottom="0.75" header="0.3" footer="0.3"/>
  <pageSetup paperSize="9" scale="80" orientation="landscape" horizontalDpi="4294967292" verticalDpi="4294967292" r:id="rId1"/>
  <drawing r:id="rId2"/>
  <extLst>
    <ext xmlns:mx="http://schemas.microsoft.com/office/mac/excel/2008/main" uri="{64002731-A6B0-56B0-2670-7721B7C09600}">
      <mx:PLV Mode="1" OnePage="0" WScale="10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35C6D-F0EB-C248-A3D4-B3CAB49D28C3}">
  <sheetPr>
    <tabColor rgb="FFFFFF00"/>
    <pageSetUpPr fitToPage="1"/>
  </sheetPr>
  <dimension ref="A1:Q39"/>
  <sheetViews>
    <sheetView zoomScale="120" zoomScaleNormal="120" zoomScalePageLayoutView="120" workbookViewId="0">
      <selection activeCell="E9" sqref="E9"/>
    </sheetView>
  </sheetViews>
  <sheetFormatPr defaultColWidth="8.86328125" defaultRowHeight="14.15" customHeight="1" x14ac:dyDescent="0.65"/>
  <cols>
    <col min="1" max="1" width="1.26953125" style="59" customWidth="1"/>
    <col min="2" max="2" width="1.7265625" style="59" customWidth="1"/>
    <col min="3" max="3" width="10.86328125" style="59" customWidth="1"/>
    <col min="4" max="4" width="1.86328125" style="59" customWidth="1"/>
    <col min="5" max="5" width="20.7265625" style="59" customWidth="1"/>
    <col min="6" max="6" width="8" style="62" customWidth="1"/>
    <col min="7" max="7" width="8" style="59" customWidth="1"/>
    <col min="8" max="8" width="11.7265625" style="62" customWidth="1"/>
    <col min="9" max="26" width="7.40625" style="59" customWidth="1"/>
    <col min="27" max="16384" width="8.86328125" style="59"/>
  </cols>
  <sheetData>
    <row r="1" spans="1:15" s="55" customFormat="1" ht="14.15" customHeight="1" x14ac:dyDescent="0.75">
      <c r="F1" s="56"/>
      <c r="H1" s="57"/>
    </row>
    <row r="2" spans="1:15" s="55" customFormat="1" ht="14.15" customHeight="1" x14ac:dyDescent="0.75">
      <c r="B2" s="94" t="s">
        <v>24</v>
      </c>
      <c r="F2" s="56"/>
      <c r="H2" s="372" t="s">
        <v>119</v>
      </c>
      <c r="I2" s="373"/>
      <c r="K2" s="374" t="str" cm="1">
        <f t="array" aca="1" ref="K2" ca="1">MID(CELL("filename",$A$1),SEARCH("]", CELL("filename",$A$1))+1,999)</f>
        <v>2026 H2</v>
      </c>
      <c r="L2" s="374"/>
      <c r="M2" s="374"/>
    </row>
    <row r="3" spans="1:15" s="55" customFormat="1" ht="14.15" customHeight="1" x14ac:dyDescent="0.75">
      <c r="F3" s="56"/>
      <c r="G3" s="58"/>
      <c r="H3" s="57"/>
      <c r="J3" s="108" t="s">
        <v>105</v>
      </c>
    </row>
    <row r="4" spans="1:15" s="55" customFormat="1" ht="14.15" customHeight="1" x14ac:dyDescent="0.75">
      <c r="F4" s="56"/>
      <c r="H4" s="57"/>
    </row>
    <row r="6" spans="1:15" ht="14.15" customHeight="1" x14ac:dyDescent="0.7">
      <c r="B6" s="60" t="s">
        <v>5</v>
      </c>
      <c r="C6" s="61"/>
      <c r="D6" s="61"/>
      <c r="E6" s="61" t="str">
        <f>'2025 H2'!E6</f>
        <v>Vreugdenhil Berging</v>
      </c>
      <c r="F6" s="66"/>
      <c r="G6" s="63"/>
      <c r="O6" s="64" t="s">
        <v>4</v>
      </c>
    </row>
    <row r="7" spans="1:15" ht="14.15" customHeight="1" x14ac:dyDescent="0.65">
      <c r="B7" s="61" t="s">
        <v>6</v>
      </c>
      <c r="C7" s="61"/>
      <c r="D7" s="61"/>
      <c r="E7" s="164">
        <f>'2024 H1'!E7</f>
        <v>27183387</v>
      </c>
      <c r="F7" s="66"/>
    </row>
    <row r="8" spans="1:15" ht="14.15" customHeight="1" x14ac:dyDescent="0.65">
      <c r="B8" s="61" t="s">
        <v>11</v>
      </c>
      <c r="C8" s="61"/>
      <c r="D8" s="61"/>
      <c r="E8" s="65" t="s">
        <v>179</v>
      </c>
      <c r="F8" s="66"/>
      <c r="G8" s="81"/>
    </row>
    <row r="10" spans="1:15" ht="14.15" customHeight="1" x14ac:dyDescent="0.65">
      <c r="A10" s="67"/>
      <c r="B10" s="67"/>
      <c r="C10" s="67"/>
      <c r="D10" s="67"/>
      <c r="E10" s="67"/>
      <c r="F10" s="67"/>
      <c r="G10" s="67"/>
      <c r="H10" s="68"/>
    </row>
    <row r="11" spans="1:15" s="71" customFormat="1" ht="14.15" customHeight="1" x14ac:dyDescent="0.65">
      <c r="A11" s="69"/>
      <c r="B11" s="69"/>
      <c r="C11" s="69"/>
      <c r="D11" s="69"/>
      <c r="E11" s="69"/>
      <c r="F11" s="375" t="s">
        <v>120</v>
      </c>
      <c r="G11" s="375"/>
      <c r="H11" s="70" t="s">
        <v>7</v>
      </c>
    </row>
    <row r="12" spans="1:15" s="77" customFormat="1" ht="14.15" customHeight="1" x14ac:dyDescent="0.65">
      <c r="A12" s="72"/>
      <c r="B12" s="72" t="s">
        <v>1</v>
      </c>
      <c r="C12" s="72"/>
      <c r="D12" s="72"/>
      <c r="E12" s="73"/>
      <c r="F12" s="74"/>
      <c r="G12" s="75" t="e">
        <f>SUM(F13:F18)</f>
        <v>#VALUE!</v>
      </c>
      <c r="H12" s="76" t="e">
        <f>G12/F30</f>
        <v>#VALUE!</v>
      </c>
    </row>
    <row r="13" spans="1:15" ht="14.15" customHeight="1" x14ac:dyDescent="0.65">
      <c r="A13" s="67"/>
      <c r="B13" s="67"/>
      <c r="C13" s="67" t="s">
        <v>155</v>
      </c>
      <c r="D13" s="67"/>
      <c r="E13" s="67"/>
      <c r="F13" s="78">
        <f>'A Inzicht'!AD7+'A Inzicht'!AD8+'A Inzicht'!AD9+'A Inzicht'!AD10+'A Inzicht'!AD11+'A Inzicht'!AD12+'A Inzicht'!AD13</f>
        <v>0</v>
      </c>
      <c r="G13" s="67"/>
      <c r="H13" s="79" t="e">
        <f>F13/F30</f>
        <v>#VALUE!</v>
      </c>
    </row>
    <row r="14" spans="1:15" ht="14.15" customHeight="1" x14ac:dyDescent="0.65">
      <c r="A14" s="67"/>
      <c r="B14" s="67"/>
      <c r="C14" s="67" t="s">
        <v>154</v>
      </c>
      <c r="D14" s="67"/>
      <c r="E14" s="67"/>
      <c r="F14" s="78">
        <f>'A Inzicht'!AD14+'A Inzicht'!AD15+'A Inzicht'!AD16+'A Inzicht'!AD17+'A Inzicht'!AD18+'A Inzicht'!AD19+'A Inzicht'!AD20</f>
        <v>0</v>
      </c>
      <c r="G14" s="67"/>
      <c r="H14" s="79" t="e">
        <f>F14/F30</f>
        <v>#VALUE!</v>
      </c>
    </row>
    <row r="15" spans="1:15" ht="14.15" customHeight="1" x14ac:dyDescent="0.65">
      <c r="A15" s="67"/>
      <c r="B15" s="67"/>
      <c r="C15" s="67" t="s">
        <v>48</v>
      </c>
      <c r="D15" s="67"/>
      <c r="E15" s="67"/>
      <c r="F15" s="78" t="e">
        <f>'A Inzicht'!AD21+'A Inzicht'!AD22+'A Inzicht'!AD23</f>
        <v>#VALUE!</v>
      </c>
      <c r="G15" s="67"/>
      <c r="H15" s="79" t="e">
        <f>F15/F30</f>
        <v>#VALUE!</v>
      </c>
    </row>
    <row r="16" spans="1:15" ht="14.15" customHeight="1" x14ac:dyDescent="0.65">
      <c r="A16" s="67"/>
      <c r="B16" s="67"/>
      <c r="C16" s="67" t="s">
        <v>8</v>
      </c>
      <c r="D16" s="67"/>
      <c r="E16" s="67"/>
      <c r="F16" s="80">
        <f>'A Inzicht'!AD24+'A Inzicht'!AD25+'A Inzicht'!AD26+'A Inzicht'!AD27+'A Inzicht'!AD28+'A Inzicht'!AD29+'A Inzicht'!AD30</f>
        <v>0</v>
      </c>
      <c r="G16" s="67"/>
      <c r="H16" s="79" t="e">
        <f>F16/F30</f>
        <v>#VALUE!</v>
      </c>
    </row>
    <row r="17" spans="1:17" ht="14.15" customHeight="1" x14ac:dyDescent="0.65">
      <c r="A17" s="67"/>
      <c r="B17" s="67"/>
      <c r="C17" s="67" t="s">
        <v>143</v>
      </c>
      <c r="D17" s="67"/>
      <c r="E17" s="67"/>
      <c r="F17" s="80">
        <f>'A Inzicht'!AD31+'A Inzicht'!AD32+'A Inzicht'!AD33</f>
        <v>0</v>
      </c>
      <c r="G17" s="67"/>
      <c r="H17" s="79" t="e">
        <f>F17/F30</f>
        <v>#VALUE!</v>
      </c>
    </row>
    <row r="18" spans="1:17" ht="14.15" customHeight="1" x14ac:dyDescent="0.65">
      <c r="A18" s="67"/>
      <c r="B18" s="67"/>
      <c r="C18" s="67"/>
      <c r="D18" s="67"/>
      <c r="E18" s="67"/>
      <c r="F18" s="68"/>
      <c r="G18" s="67"/>
      <c r="H18" s="79"/>
    </row>
    <row r="19" spans="1:17" s="77" customFormat="1" ht="14.15" customHeight="1" x14ac:dyDescent="0.65">
      <c r="A19" s="72"/>
      <c r="B19" s="72" t="s">
        <v>0</v>
      </c>
      <c r="C19" s="72"/>
      <c r="D19" s="72"/>
      <c r="E19" s="73"/>
      <c r="F19" s="74"/>
      <c r="G19" s="75">
        <f>SUM(F20:F23)</f>
        <v>0</v>
      </c>
      <c r="H19" s="76" t="e">
        <f>G19/F30</f>
        <v>#VALUE!</v>
      </c>
    </row>
    <row r="20" spans="1:17" ht="14.15" customHeight="1" x14ac:dyDescent="0.65">
      <c r="A20" s="67"/>
      <c r="B20" s="67"/>
      <c r="C20" s="67" t="s">
        <v>60</v>
      </c>
      <c r="D20" s="67"/>
      <c r="E20" s="67"/>
      <c r="F20" s="80">
        <f>'A Inzicht'!AD36+'A Inzicht'!AD37+'A Inzicht'!AD38+'A Inzicht'!AD39</f>
        <v>0</v>
      </c>
      <c r="G20" s="67"/>
      <c r="H20" s="79" t="e">
        <f>F20/F30</f>
        <v>#VALUE!</v>
      </c>
    </row>
    <row r="21" spans="1:17" ht="14.15" customHeight="1" x14ac:dyDescent="0.65">
      <c r="A21" s="67"/>
      <c r="B21" s="67"/>
      <c r="C21" s="67" t="s">
        <v>79</v>
      </c>
      <c r="D21" s="67"/>
      <c r="E21" s="67"/>
      <c r="F21" s="80">
        <f>'A Inzicht'!AD40+'A Inzicht'!AD41+'A Inzicht'!AD42</f>
        <v>0</v>
      </c>
      <c r="G21" s="67"/>
      <c r="H21" s="79" t="e">
        <f>F21/F30</f>
        <v>#VALUE!</v>
      </c>
    </row>
    <row r="22" spans="1:17" ht="14.15" customHeight="1" x14ac:dyDescent="0.65">
      <c r="A22" s="67"/>
      <c r="B22" s="67"/>
      <c r="C22" s="67" t="s">
        <v>59</v>
      </c>
      <c r="D22" s="67"/>
      <c r="E22" s="67"/>
      <c r="F22" s="80">
        <f>'A Inzicht'!AD43+'A Inzicht'!AD44+'A Inzicht'!AD45+'A Inzicht'!AD46+'A Inzicht'!AD47+'A Inzicht'!AD47+'A Inzicht'!AD48</f>
        <v>0</v>
      </c>
      <c r="G22" s="67"/>
      <c r="H22" s="79" t="e">
        <f>F22/F30</f>
        <v>#VALUE!</v>
      </c>
    </row>
    <row r="23" spans="1:17" ht="14.15" customHeight="1" x14ac:dyDescent="0.65">
      <c r="A23" s="67"/>
      <c r="B23" s="67"/>
      <c r="C23" s="67"/>
      <c r="D23" s="67"/>
      <c r="E23" s="67"/>
      <c r="F23" s="68"/>
      <c r="G23" s="67"/>
      <c r="H23" s="79"/>
    </row>
    <row r="24" spans="1:17" ht="14.15" customHeight="1" x14ac:dyDescent="0.65">
      <c r="A24" s="67"/>
      <c r="B24" s="72" t="s">
        <v>93</v>
      </c>
      <c r="C24" s="67"/>
      <c r="D24" s="67"/>
      <c r="E24" s="67"/>
      <c r="F24" s="68"/>
      <c r="G24" s="75">
        <f>SUM(F25:F29)</f>
        <v>0</v>
      </c>
      <c r="H24" s="76" t="e">
        <f>G24/F30</f>
        <v>#VALUE!</v>
      </c>
    </row>
    <row r="25" spans="1:17" ht="14.15" customHeight="1" x14ac:dyDescent="0.65">
      <c r="A25" s="67"/>
      <c r="B25" s="67"/>
      <c r="C25" s="67" t="s">
        <v>25</v>
      </c>
      <c r="D25" s="67"/>
      <c r="E25" s="67"/>
      <c r="F25" s="80">
        <f>'A Inzicht'!AD51+'A Inzicht'!AD52+'A Inzicht'!AD53+'A Inzicht'!AD54+'A Inzicht'!AD55+'A Inzicht'!AD56+'A Inzicht'!AD57+'A Inzicht'!AD58+'A Inzicht'!AD59+'A Inzicht'!AD60+'A Inzicht'!AD61</f>
        <v>0</v>
      </c>
      <c r="G25" s="67"/>
      <c r="H25" s="79" t="e">
        <f>F25/F30</f>
        <v>#VALUE!</v>
      </c>
    </row>
    <row r="26" spans="1:17" ht="14.15" customHeight="1" x14ac:dyDescent="0.65">
      <c r="A26" s="67"/>
      <c r="B26" s="67"/>
      <c r="C26" s="67" t="s">
        <v>27</v>
      </c>
      <c r="D26" s="67"/>
      <c r="E26" s="67"/>
      <c r="F26" s="80">
        <f>'A Inzicht'!AD62+'A Inzicht'!AD63+'A Inzicht'!AD64+'A Inzicht'!AD65+'A Inzicht'!AD66+'A Inzicht'!AD67+'A Inzicht'!AD68+'A Inzicht'!AD69+'A Inzicht'!AD70</f>
        <v>0</v>
      </c>
      <c r="G26" s="67"/>
      <c r="H26" s="79" t="e">
        <f>F26/F30</f>
        <v>#VALUE!</v>
      </c>
      <c r="Q26" s="81"/>
    </row>
    <row r="27" spans="1:17" ht="14.15" customHeight="1" x14ac:dyDescent="0.65">
      <c r="A27" s="67"/>
      <c r="B27" s="67"/>
      <c r="C27" s="67" t="s">
        <v>13</v>
      </c>
      <c r="D27" s="67"/>
      <c r="E27" s="67"/>
      <c r="F27" s="80">
        <f>'A Inzicht'!AD71+'A Inzicht'!AD72+'A Inzicht'!AD73</f>
        <v>0</v>
      </c>
      <c r="G27" s="67"/>
      <c r="H27" s="79" t="e">
        <f>F27/F30</f>
        <v>#VALUE!</v>
      </c>
    </row>
    <row r="28" spans="1:17" ht="14.15" customHeight="1" x14ac:dyDescent="0.65">
      <c r="A28" s="67"/>
      <c r="B28" s="67"/>
      <c r="C28" s="67" t="s">
        <v>30</v>
      </c>
      <c r="D28" s="67"/>
      <c r="E28" s="67"/>
      <c r="F28" s="80">
        <f>'A Inzicht'!AD74+'A Inzicht'!AD75</f>
        <v>0</v>
      </c>
      <c r="G28" s="67"/>
      <c r="H28" s="79" t="e">
        <f>F28/F30</f>
        <v>#VALUE!</v>
      </c>
      <c r="Q28" s="81"/>
    </row>
    <row r="29" spans="1:17" ht="14.15" customHeight="1" x14ac:dyDescent="0.65">
      <c r="A29" s="67"/>
      <c r="B29" s="67"/>
      <c r="C29" s="67"/>
      <c r="D29" s="67"/>
      <c r="E29" s="67"/>
      <c r="F29" s="68"/>
      <c r="G29" s="67"/>
      <c r="H29" s="79"/>
    </row>
    <row r="30" spans="1:17" ht="14.15" customHeight="1" x14ac:dyDescent="0.65">
      <c r="A30" s="67"/>
      <c r="B30" s="67"/>
      <c r="C30" s="67"/>
      <c r="D30" s="67"/>
      <c r="E30" s="73" t="s">
        <v>20</v>
      </c>
      <c r="F30" s="82" t="e">
        <f>G12+G19+G24</f>
        <v>#VALUE!</v>
      </c>
      <c r="G30" s="72" t="s">
        <v>120</v>
      </c>
      <c r="H30" s="79"/>
    </row>
    <row r="31" spans="1:17" ht="14.15" customHeight="1" x14ac:dyDescent="0.65">
      <c r="A31" s="67"/>
      <c r="B31" s="67"/>
      <c r="C31" s="67"/>
      <c r="D31" s="67"/>
      <c r="E31" s="67"/>
      <c r="F31" s="68"/>
      <c r="G31" s="67"/>
      <c r="H31" s="79"/>
    </row>
    <row r="33" spans="1:8" ht="14.15" customHeight="1" x14ac:dyDescent="0.65">
      <c r="A33" s="59" t="s">
        <v>21</v>
      </c>
      <c r="D33" s="59" t="s">
        <v>135</v>
      </c>
      <c r="F33" s="59"/>
      <c r="G33" s="93" t="e">
        <f>G12/Sleutels!L6</f>
        <v>#VALUE!</v>
      </c>
      <c r="H33" s="66" t="s">
        <v>120</v>
      </c>
    </row>
    <row r="34" spans="1:8" ht="14.15" customHeight="1" x14ac:dyDescent="0.65">
      <c r="D34" s="59" t="s">
        <v>121</v>
      </c>
      <c r="F34" s="59"/>
      <c r="G34" s="93" t="e">
        <f>G12/(Sleutels!L7/2)</f>
        <v>#VALUE!</v>
      </c>
      <c r="H34" s="66" t="s">
        <v>120</v>
      </c>
    </row>
    <row r="35" spans="1:8" ht="14.15" customHeight="1" x14ac:dyDescent="0.65">
      <c r="A35" s="59" t="s">
        <v>137</v>
      </c>
    </row>
    <row r="36" spans="1:8" ht="14.15" customHeight="1" x14ac:dyDescent="0.65">
      <c r="D36" s="59" t="s">
        <v>135</v>
      </c>
      <c r="F36" s="59"/>
      <c r="G36" s="93">
        <f>(G19+G24)/Sleutels!L6</f>
        <v>0</v>
      </c>
      <c r="H36" s="66" t="s">
        <v>120</v>
      </c>
    </row>
    <row r="37" spans="1:8" ht="14.15" customHeight="1" x14ac:dyDescent="0.65">
      <c r="A37" s="84"/>
      <c r="D37" s="59" t="s">
        <v>121</v>
      </c>
      <c r="F37" s="59"/>
      <c r="G37" s="93">
        <f>(G19+G24)/(Sleutels!L7/2)</f>
        <v>0</v>
      </c>
      <c r="H37" s="66" t="s">
        <v>120</v>
      </c>
    </row>
    <row r="38" spans="1:8" ht="14.15" customHeight="1" x14ac:dyDescent="0.65">
      <c r="C38" s="84"/>
      <c r="E38" s="84"/>
      <c r="F38" s="84"/>
      <c r="G38" s="93"/>
      <c r="H38" s="66"/>
    </row>
    <row r="39" spans="1:8" ht="14.15" customHeight="1" x14ac:dyDescent="0.65">
      <c r="C39" s="85"/>
      <c r="D39" s="85"/>
    </row>
  </sheetData>
  <mergeCells count="3">
    <mergeCell ref="H2:I2"/>
    <mergeCell ref="K2:M2"/>
    <mergeCell ref="F11:G11"/>
  </mergeCells>
  <pageMargins left="0.7" right="0.7" top="0.75" bottom="0.75" header="0.3" footer="0.3"/>
  <pageSetup paperSize="9" scale="80" orientation="landscape" horizontalDpi="4294967292" verticalDpi="4294967292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K51"/>
  <sheetViews>
    <sheetView zoomScaleNormal="100" workbookViewId="0">
      <selection activeCell="J36" sqref="J36"/>
    </sheetView>
  </sheetViews>
  <sheetFormatPr defaultColWidth="11.40625" defaultRowHeight="14.75" x14ac:dyDescent="0.75"/>
  <cols>
    <col min="1" max="1" width="2.1328125" customWidth="1"/>
    <col min="3" max="3" width="41.7265625" customWidth="1"/>
  </cols>
  <sheetData>
    <row r="1" spans="2:11" s="5" customFormat="1" ht="16" x14ac:dyDescent="0.8">
      <c r="F1" s="6"/>
      <c r="K1" s="7" t="s">
        <v>31</v>
      </c>
    </row>
    <row r="2" spans="2:11" s="5" customFormat="1" ht="16" x14ac:dyDescent="0.8">
      <c r="F2" s="6"/>
      <c r="K2" s="7"/>
    </row>
    <row r="3" spans="2:11" s="5" customFormat="1" x14ac:dyDescent="0.75">
      <c r="C3" s="4" t="s">
        <v>32</v>
      </c>
      <c r="D3" s="4"/>
      <c r="K3" s="8"/>
    </row>
    <row r="4" spans="2:11" ht="6.75" customHeight="1" x14ac:dyDescent="0.75"/>
    <row r="5" spans="2:11" s="9" customFormat="1" x14ac:dyDescent="0.75">
      <c r="C5" s="10"/>
      <c r="D5" s="11" t="s">
        <v>52</v>
      </c>
      <c r="E5" s="11" t="s">
        <v>53</v>
      </c>
      <c r="F5" s="12" t="s">
        <v>65</v>
      </c>
      <c r="G5" s="13"/>
      <c r="H5" s="11" t="s">
        <v>53</v>
      </c>
      <c r="I5" s="11"/>
      <c r="J5" s="12" t="s">
        <v>68</v>
      </c>
      <c r="K5" s="13"/>
    </row>
    <row r="6" spans="2:11" s="1" customFormat="1" ht="15.5" thickBot="1" x14ac:dyDescent="0.9">
      <c r="B6" s="14"/>
      <c r="C6" s="15"/>
      <c r="D6" s="1" t="s">
        <v>33</v>
      </c>
      <c r="E6" s="1" t="s">
        <v>33</v>
      </c>
      <c r="F6" s="16" t="s">
        <v>34</v>
      </c>
      <c r="G6" s="17" t="s">
        <v>33</v>
      </c>
      <c r="H6" s="1" t="s">
        <v>34</v>
      </c>
      <c r="I6" s="17" t="s">
        <v>33</v>
      </c>
      <c r="J6" s="1" t="s">
        <v>34</v>
      </c>
      <c r="K6" s="17" t="s">
        <v>33</v>
      </c>
    </row>
    <row r="7" spans="2:11" s="19" customFormat="1" ht="15.5" thickTop="1" x14ac:dyDescent="0.75">
      <c r="B7" s="18" t="s">
        <v>21</v>
      </c>
      <c r="D7" s="20">
        <f>'2024 H1'!G12/Sleutels!G6</f>
        <v>48.982612538461538</v>
      </c>
      <c r="E7" s="21">
        <f>'2024 H2'!G12/Sleutels!G6</f>
        <v>47.417882076923085</v>
      </c>
      <c r="F7" s="22">
        <f>D7-(D7*D37)</f>
        <v>48.615242944423073</v>
      </c>
      <c r="G7" s="23">
        <f>'2025 H1'!G33/Sleutels!H6</f>
        <v>486.92900909090901</v>
      </c>
      <c r="H7" s="22">
        <f>E7-(E7*D37)</f>
        <v>47.062247961346159</v>
      </c>
      <c r="I7" s="21">
        <f>'2025 H2'!G12/Sleutels!I6</f>
        <v>0</v>
      </c>
      <c r="J7" s="22">
        <f>D7-(D7*D38)</f>
        <v>48.394821188000002</v>
      </c>
      <c r="K7" s="23"/>
    </row>
    <row r="8" spans="2:11" s="19" customFormat="1" x14ac:dyDescent="0.75">
      <c r="B8" s="18"/>
      <c r="C8" s="19" t="s">
        <v>10</v>
      </c>
      <c r="D8" s="24">
        <f>'2024 H1'!F13/Sleutels!G6</f>
        <v>0.70807100000000012</v>
      </c>
      <c r="E8" s="25">
        <f>'2024 H2'!F13/Sleutels!G6</f>
        <v>0.63646100000000005</v>
      </c>
      <c r="F8" s="26">
        <f>D8-(D8*D37)</f>
        <v>0.7027604675000001</v>
      </c>
      <c r="G8" s="27">
        <f>'2025 H1'!F13/Sleutels!H6</f>
        <v>0</v>
      </c>
      <c r="H8" s="26">
        <f>E8-(E8*D37)</f>
        <v>0.63168754250000003</v>
      </c>
      <c r="I8" s="25">
        <f>'2025 H2'!F13/Sleutels!I6</f>
        <v>0</v>
      </c>
      <c r="J8" s="26">
        <f>D8-(D8*D38)</f>
        <v>0.69957414800000006</v>
      </c>
      <c r="K8" s="27"/>
    </row>
    <row r="9" spans="2:11" s="19" customFormat="1" x14ac:dyDescent="0.75">
      <c r="B9" s="18"/>
      <c r="C9" s="19" t="s">
        <v>48</v>
      </c>
      <c r="D9" s="24">
        <f>'2024 H1'!F13/Sleutels!G6</f>
        <v>0.70807100000000012</v>
      </c>
      <c r="E9" s="25">
        <f>'2024 H2'!F13/Sleutels!G6</f>
        <v>0.63646100000000005</v>
      </c>
      <c r="F9" s="26">
        <f>D9-(D9*D37)</f>
        <v>0.7027604675000001</v>
      </c>
      <c r="G9" s="27">
        <f>'2025 H1'!F14/Sleutels!H6</f>
        <v>535.62190999999996</v>
      </c>
      <c r="H9" s="26">
        <f>E9-(E9*D37)</f>
        <v>0.63168754250000003</v>
      </c>
      <c r="I9" s="25">
        <f>'2025 H2'!F14/Sleutels!I6</f>
        <v>0</v>
      </c>
      <c r="J9" s="26">
        <f>D9-(D9*D38)</f>
        <v>0.69957414800000006</v>
      </c>
      <c r="K9" s="27"/>
    </row>
    <row r="10" spans="2:11" s="19" customFormat="1" x14ac:dyDescent="0.75">
      <c r="B10" s="18"/>
      <c r="C10" s="19" t="s">
        <v>50</v>
      </c>
      <c r="D10" s="24">
        <f>'2024 H1'!F16/Sleutels!G6</f>
        <v>0</v>
      </c>
      <c r="E10" s="25">
        <f>'2024 H2'!F16/Sleutels!G6</f>
        <v>0</v>
      </c>
      <c r="F10" s="26">
        <f>D10-(D10*D37)</f>
        <v>0</v>
      </c>
      <c r="G10" s="27">
        <f>'2025 H1'!F16/Sleutels!H6</f>
        <v>0</v>
      </c>
      <c r="H10" s="26">
        <f>E10-(E10*D37)</f>
        <v>0</v>
      </c>
      <c r="I10" s="25">
        <f>'2025 H2'!F16/Sleutels!I6</f>
        <v>0</v>
      </c>
      <c r="J10" s="26">
        <f>D10-(D10*D38)</f>
        <v>0</v>
      </c>
      <c r="K10" s="27"/>
    </row>
    <row r="11" spans="2:11" s="19" customFormat="1" x14ac:dyDescent="0.75">
      <c r="B11" s="18"/>
      <c r="C11" s="19" t="s">
        <v>8</v>
      </c>
      <c r="D11" s="24">
        <f>'2024 H1'!F17/Sleutels!G6</f>
        <v>1.8752935384615386</v>
      </c>
      <c r="E11" s="25">
        <f>'2024 H2'!F17/Sleutels!G6</f>
        <v>1.8752935384615386</v>
      </c>
      <c r="F11" s="45">
        <f>D11-(D11*D37)</f>
        <v>1.8612288369230769</v>
      </c>
      <c r="G11" s="27">
        <f>'2025 H1'!F17/Sleutels!H6</f>
        <v>0</v>
      </c>
      <c r="H11" s="45">
        <f>E11-(E11*D37)</f>
        <v>1.8612288369230769</v>
      </c>
      <c r="I11" s="25">
        <f>'2025 H2'!F17/Sleutels!I6</f>
        <v>0</v>
      </c>
      <c r="J11" s="45">
        <f>D11-(D11*D38)</f>
        <v>1.8527900160000002</v>
      </c>
      <c r="K11" s="27"/>
    </row>
    <row r="12" spans="2:11" s="19" customFormat="1" x14ac:dyDescent="0.75">
      <c r="B12" s="36" t="s">
        <v>22</v>
      </c>
      <c r="C12" s="37"/>
      <c r="D12" s="38">
        <f>'2024 H1'!F20/Sleutels!G6</f>
        <v>2.1515452307692309</v>
      </c>
      <c r="E12" s="39">
        <f>'2024 H2'!G19/Sleutels!G6</f>
        <v>2.1515452307692309</v>
      </c>
      <c r="F12" s="26">
        <f>D12-(D12*D39)</f>
        <v>2.1354086415384614</v>
      </c>
      <c r="G12" s="40">
        <f>'2025 H1'!F20/Sleutels!H6</f>
        <v>0</v>
      </c>
      <c r="H12" s="26">
        <f>E12-(E12*D39)</f>
        <v>2.1354086415384614</v>
      </c>
      <c r="I12" s="39">
        <f>'2025 H2'!G19/Sleutels!I6</f>
        <v>0</v>
      </c>
      <c r="J12" s="26">
        <f>D12-(D12*D40)</f>
        <v>2.1257266880000003</v>
      </c>
      <c r="K12" s="40"/>
    </row>
    <row r="13" spans="2:11" s="19" customFormat="1" x14ac:dyDescent="0.75">
      <c r="B13" s="18"/>
      <c r="C13" s="19" t="s">
        <v>60</v>
      </c>
      <c r="D13" s="24">
        <f>'2024 H1'!F20/Sleutels!G6</f>
        <v>2.1515452307692309</v>
      </c>
      <c r="E13" s="25">
        <f>'2024 H2'!F20/Sleutels!G6</f>
        <v>2.1515452307692309</v>
      </c>
      <c r="F13" s="26">
        <f>D13-(D13*D39)</f>
        <v>2.1354086415384614</v>
      </c>
      <c r="G13" s="27">
        <f>'2025 H1'!F20/Sleutels!H6</f>
        <v>0</v>
      </c>
      <c r="H13" s="26">
        <f>E13-(E13*D39)</f>
        <v>2.1354086415384614</v>
      </c>
      <c r="I13" s="25">
        <f>'2025 H2'!F20/Sleutels!I6</f>
        <v>0</v>
      </c>
      <c r="J13" s="26">
        <f>D13-(D13*D40)</f>
        <v>2.1257266880000003</v>
      </c>
      <c r="K13" s="27"/>
    </row>
    <row r="14" spans="2:11" s="19" customFormat="1" x14ac:dyDescent="0.75">
      <c r="B14" s="18"/>
      <c r="C14" s="19" t="s">
        <v>51</v>
      </c>
      <c r="D14" s="24">
        <f>'2024 H1'!F25/Sleutels!G6</f>
        <v>0</v>
      </c>
      <c r="E14" s="25">
        <f>'2024 H2'!F25/Sleutels!G6</f>
        <v>0</v>
      </c>
      <c r="F14" s="26">
        <f>D14-(D14*D39)</f>
        <v>0</v>
      </c>
      <c r="G14" s="27">
        <f>'2025 H1'!F25/Sleutels!H6</f>
        <v>0</v>
      </c>
      <c r="H14" s="26">
        <f>E14-(E14*D39)</f>
        <v>0</v>
      </c>
      <c r="I14" s="25">
        <f>'2025 H2'!F25/Sleutels!I6</f>
        <v>0</v>
      </c>
      <c r="J14" s="26">
        <f>D14-(D14*D40)</f>
        <v>0</v>
      </c>
      <c r="K14" s="27"/>
    </row>
    <row r="15" spans="2:11" s="19" customFormat="1" x14ac:dyDescent="0.75">
      <c r="B15" s="18"/>
      <c r="C15" s="19" t="s">
        <v>27</v>
      </c>
      <c r="D15" s="24">
        <f>'2024 H1'!F26/Sleutels!G6</f>
        <v>0</v>
      </c>
      <c r="E15" s="25">
        <f>'2024 H2'!F26/Sleutels!G6</f>
        <v>0</v>
      </c>
      <c r="F15" s="26">
        <f>D15-(D15*D41)</f>
        <v>0</v>
      </c>
      <c r="G15" s="27">
        <f>'2025 H1'!F26/Sleutels!H6</f>
        <v>0</v>
      </c>
      <c r="H15" s="26">
        <f>E15-(E15*D41)</f>
        <v>0</v>
      </c>
      <c r="I15" s="25">
        <f>'2025 H2'!F26/Sleutels!I6</f>
        <v>0</v>
      </c>
      <c r="J15" s="26">
        <f>D15-(D15*D42)</f>
        <v>0</v>
      </c>
      <c r="K15" s="27"/>
    </row>
    <row r="16" spans="2:11" s="19" customFormat="1" x14ac:dyDescent="0.75">
      <c r="B16" s="41"/>
      <c r="C16" s="42" t="s">
        <v>13</v>
      </c>
      <c r="D16" s="43">
        <f>'2024 H1'!F27/Sleutels!G6</f>
        <v>0</v>
      </c>
      <c r="E16" s="44">
        <f>'2024 H2'!F27/Sleutels!G6</f>
        <v>0</v>
      </c>
      <c r="F16" s="45">
        <f>D16-(D16*D39)</f>
        <v>0</v>
      </c>
      <c r="G16" s="46">
        <f>'2025 H1'!F27/Sleutels!H6</f>
        <v>0</v>
      </c>
      <c r="H16" s="45">
        <f>E16-(E16*D39)</f>
        <v>0</v>
      </c>
      <c r="I16" s="44">
        <f>'2025 H2'!F27/Sleutels!I6</f>
        <v>0</v>
      </c>
      <c r="J16" s="45">
        <f>D16-(D16*D40)</f>
        <v>0</v>
      </c>
      <c r="K16" s="46"/>
    </row>
    <row r="17" spans="2:11" s="19" customFormat="1" x14ac:dyDescent="0.75">
      <c r="B17" s="18" t="s">
        <v>23</v>
      </c>
      <c r="D17" s="24">
        <f>'2024 H1'!G24/Sleutels!G6</f>
        <v>0</v>
      </c>
      <c r="E17" s="25">
        <f>'2024 H2'!G24/Sleutels!G6</f>
        <v>0</v>
      </c>
      <c r="F17" s="29">
        <f>D17-(D17*D41)</f>
        <v>0</v>
      </c>
      <c r="G17" s="30">
        <f>'2025 H1'!G24/Sleutels!H6</f>
        <v>0</v>
      </c>
      <c r="H17" s="28">
        <f>E17-(E17*D41)</f>
        <v>0</v>
      </c>
      <c r="I17" s="28">
        <f>'2025 H2'!G24/Sleutels!I6</f>
        <v>0</v>
      </c>
      <c r="J17" s="47">
        <f>D17-(D17*D42)</f>
        <v>0</v>
      </c>
      <c r="K17" s="30"/>
    </row>
    <row r="18" spans="2:11" s="19" customFormat="1" x14ac:dyDescent="0.75">
      <c r="B18" s="18"/>
      <c r="C18" s="19" t="s">
        <v>26</v>
      </c>
      <c r="D18" s="24" t="e">
        <f>'2024 H1'!#REF!/Sleutels!G6</f>
        <v>#REF!</v>
      </c>
      <c r="E18" s="25" t="e">
        <f>'2024 H2'!#REF!/Sleutels!G6</f>
        <v>#REF!</v>
      </c>
      <c r="F18" s="26" t="e">
        <f>D18-(D18*D41)</f>
        <v>#REF!</v>
      </c>
      <c r="G18" s="27" t="e">
        <f>'2025 H1'!#REF!/Sleutels!H6</f>
        <v>#REF!</v>
      </c>
      <c r="H18" s="26" t="e">
        <f>E18-(E18*D41)</f>
        <v>#REF!</v>
      </c>
      <c r="I18" s="25" t="e">
        <f>'2025 H2'!#REF!/Sleutels!I6</f>
        <v>#REF!</v>
      </c>
      <c r="J18" s="26" t="e">
        <f>D18-(D18*D42)</f>
        <v>#REF!</v>
      </c>
      <c r="K18" s="27"/>
    </row>
    <row r="19" spans="2:11" s="19" customFormat="1" x14ac:dyDescent="0.75">
      <c r="B19" s="18"/>
      <c r="C19" s="19" t="s">
        <v>28</v>
      </c>
      <c r="D19" s="24" t="e">
        <f>'2024 H1'!#REF!/Sleutels!G6</f>
        <v>#REF!</v>
      </c>
      <c r="E19" s="25" t="e">
        <f>'2024 H2'!#REF!/Sleutels!G6</f>
        <v>#REF!</v>
      </c>
      <c r="F19" s="26" t="e">
        <f>D19-(D19*D41)</f>
        <v>#REF!</v>
      </c>
      <c r="G19" s="27" t="e">
        <f>'2025 H1'!#REF!/Sleutels!H6</f>
        <v>#REF!</v>
      </c>
      <c r="H19" s="26" t="e">
        <f>E19-(E19*D41)</f>
        <v>#REF!</v>
      </c>
      <c r="I19" s="25" t="e">
        <f>'2025 H2'!#REF!/Sleutels!I6</f>
        <v>#REF!</v>
      </c>
      <c r="J19" s="26" t="e">
        <f>D19-(D19*D42)</f>
        <v>#REF!</v>
      </c>
      <c r="K19" s="27"/>
    </row>
    <row r="20" spans="2:11" s="19" customFormat="1" x14ac:dyDescent="0.75">
      <c r="B20" s="18"/>
      <c r="C20" s="19" t="s">
        <v>29</v>
      </c>
      <c r="D20" s="24" t="e">
        <f>'2024 H1'!#REF!/Sleutels!G6</f>
        <v>#REF!</v>
      </c>
      <c r="E20" s="25" t="e">
        <f>'2024 H2'!#REF!/Sleutels!G6</f>
        <v>#REF!</v>
      </c>
      <c r="F20" s="26" t="e">
        <f>D20-(D20*D41)</f>
        <v>#REF!</v>
      </c>
      <c r="G20" s="27" t="e">
        <f>'2025 H1'!#REF!/Sleutels!H6</f>
        <v>#REF!</v>
      </c>
      <c r="H20" s="26" t="e">
        <f>E20-(E20*D41)</f>
        <v>#REF!</v>
      </c>
      <c r="I20" s="25" t="e">
        <f>'2025 H2'!#REF!/Sleutels!I6</f>
        <v>#REF!</v>
      </c>
      <c r="J20" s="26" t="e">
        <f>D20-(D20*D42)</f>
        <v>#REF!</v>
      </c>
      <c r="K20" s="27"/>
    </row>
    <row r="21" spans="2:11" s="19" customFormat="1" x14ac:dyDescent="0.75">
      <c r="B21" s="18"/>
      <c r="C21" s="19" t="s">
        <v>30</v>
      </c>
      <c r="D21" s="24">
        <f>'2024 H1'!F28/Sleutels!G6</f>
        <v>0</v>
      </c>
      <c r="E21" s="25">
        <f>'2024 H2'!F28/Sleutels!G6</f>
        <v>0</v>
      </c>
      <c r="F21" s="26">
        <f>D21-(D21*D41)</f>
        <v>0</v>
      </c>
      <c r="G21" s="27">
        <f>'2025 H1'!F28/Sleutels!H6</f>
        <v>0</v>
      </c>
      <c r="H21" s="26">
        <f>E21-(E21*D41)</f>
        <v>0</v>
      </c>
      <c r="I21" s="25">
        <f>'2025 H2'!F28/Sleutels!I6</f>
        <v>0</v>
      </c>
      <c r="J21" s="26">
        <f>D21-(D21*D42)</f>
        <v>0</v>
      </c>
      <c r="K21" s="27"/>
    </row>
    <row r="22" spans="2:11" s="19" customFormat="1" x14ac:dyDescent="0.75">
      <c r="B22" s="18"/>
      <c r="D22" s="25"/>
      <c r="E22" s="25"/>
      <c r="F22" s="25"/>
      <c r="G22" s="25"/>
      <c r="H22" s="25"/>
      <c r="I22" s="25"/>
      <c r="J22" s="25"/>
      <c r="K22" s="25"/>
    </row>
    <row r="23" spans="2:11" s="19" customFormat="1" x14ac:dyDescent="0.75">
      <c r="B23" s="18"/>
      <c r="D23" s="25"/>
      <c r="E23" s="25"/>
      <c r="F23" s="25"/>
      <c r="G23" s="25"/>
      <c r="H23" s="25"/>
      <c r="I23" s="25"/>
      <c r="J23" s="25"/>
      <c r="K23" s="25"/>
    </row>
    <row r="24" spans="2:11" s="5" customFormat="1" x14ac:dyDescent="0.75">
      <c r="C24" s="4" t="s">
        <v>40</v>
      </c>
      <c r="D24" s="4"/>
      <c r="K24" s="8"/>
    </row>
    <row r="25" spans="2:11" ht="6" customHeight="1" x14ac:dyDescent="0.75"/>
    <row r="26" spans="2:11" s="9" customFormat="1" x14ac:dyDescent="0.75">
      <c r="C26" s="10"/>
      <c r="D26" s="11" t="s">
        <v>47</v>
      </c>
      <c r="E26" s="11" t="s">
        <v>66</v>
      </c>
      <c r="F26" s="12" t="s">
        <v>67</v>
      </c>
      <c r="G26" s="13"/>
      <c r="H26" s="11" t="s">
        <v>69</v>
      </c>
      <c r="I26" s="11"/>
      <c r="J26" s="12" t="s">
        <v>70</v>
      </c>
      <c r="K26" s="13"/>
    </row>
    <row r="27" spans="2:11" s="1" customFormat="1" ht="15.5" thickBot="1" x14ac:dyDescent="0.9">
      <c r="B27" s="14"/>
      <c r="C27" s="15"/>
      <c r="D27" s="1" t="s">
        <v>33</v>
      </c>
      <c r="E27" s="1" t="s">
        <v>33</v>
      </c>
      <c r="F27" s="16" t="s">
        <v>34</v>
      </c>
      <c r="G27" s="17" t="s">
        <v>33</v>
      </c>
      <c r="H27" s="1" t="s">
        <v>34</v>
      </c>
      <c r="I27" s="17" t="s">
        <v>33</v>
      </c>
      <c r="J27" s="1" t="s">
        <v>34</v>
      </c>
      <c r="K27" s="17" t="s">
        <v>33</v>
      </c>
    </row>
    <row r="28" spans="2:11" s="19" customFormat="1" ht="15.5" thickTop="1" x14ac:dyDescent="0.75">
      <c r="B28" s="18" t="s">
        <v>21</v>
      </c>
      <c r="C28" s="19" t="s">
        <v>35</v>
      </c>
      <c r="D28" s="48" t="s">
        <v>12</v>
      </c>
      <c r="E28" s="21"/>
      <c r="F28" s="22"/>
      <c r="G28" s="23"/>
      <c r="H28" s="21"/>
      <c r="I28" s="21"/>
      <c r="J28" s="22"/>
      <c r="K28" s="23"/>
    </row>
    <row r="29" spans="2:11" s="19" customFormat="1" x14ac:dyDescent="0.75">
      <c r="B29" s="18"/>
      <c r="C29" s="19" t="s">
        <v>36</v>
      </c>
      <c r="D29" s="49" t="s">
        <v>12</v>
      </c>
      <c r="E29" s="25"/>
      <c r="F29" s="26"/>
      <c r="G29" s="27"/>
      <c r="H29" s="26"/>
      <c r="I29" s="25"/>
      <c r="J29" s="26"/>
      <c r="K29" s="27"/>
    </row>
    <row r="30" spans="2:11" s="19" customFormat="1" x14ac:dyDescent="0.75">
      <c r="B30" s="18" t="s">
        <v>22</v>
      </c>
      <c r="C30" s="19" t="s">
        <v>37</v>
      </c>
      <c r="D30" s="24" t="s">
        <v>57</v>
      </c>
      <c r="E30" s="25"/>
      <c r="F30" s="26"/>
      <c r="G30" s="27"/>
      <c r="H30" s="26"/>
      <c r="I30" s="25"/>
      <c r="J30" s="26"/>
      <c r="K30" s="27"/>
    </row>
    <row r="31" spans="2:11" s="19" customFormat="1" x14ac:dyDescent="0.75">
      <c r="B31" s="18"/>
      <c r="C31" s="19" t="s">
        <v>38</v>
      </c>
      <c r="D31" s="24"/>
      <c r="E31" s="25"/>
      <c r="F31" s="26"/>
      <c r="G31" s="27"/>
      <c r="H31" s="26"/>
      <c r="I31" s="25"/>
      <c r="J31" s="26"/>
      <c r="K31" s="27"/>
    </row>
    <row r="32" spans="2:11" s="19" customFormat="1" x14ac:dyDescent="0.75">
      <c r="B32" s="18" t="s">
        <v>23</v>
      </c>
      <c r="C32" s="19" t="s">
        <v>39</v>
      </c>
      <c r="D32" s="24"/>
      <c r="E32" s="25"/>
      <c r="F32" s="26"/>
      <c r="G32" s="27"/>
      <c r="H32" s="25"/>
      <c r="I32" s="25"/>
      <c r="J32" s="26"/>
      <c r="K32" s="27"/>
    </row>
    <row r="33" spans="2:11" s="19" customFormat="1" x14ac:dyDescent="0.75">
      <c r="B33" s="18"/>
      <c r="C33" s="19" t="s">
        <v>49</v>
      </c>
      <c r="D33" s="24"/>
      <c r="E33" s="25"/>
      <c r="F33" s="26"/>
      <c r="G33" s="27"/>
      <c r="H33" s="25"/>
      <c r="I33" s="25"/>
      <c r="J33" s="26"/>
      <c r="K33" s="27"/>
    </row>
    <row r="34" spans="2:11" s="19" customFormat="1" x14ac:dyDescent="0.75">
      <c r="B34" s="18"/>
      <c r="C34" s="31"/>
      <c r="D34" s="25"/>
      <c r="E34" s="25"/>
      <c r="F34" s="25"/>
      <c r="G34" s="25"/>
      <c r="H34" s="25"/>
      <c r="I34" s="25"/>
      <c r="J34" s="25"/>
      <c r="K34" s="25"/>
    </row>
    <row r="36" spans="2:11" x14ac:dyDescent="0.75">
      <c r="C36" s="4" t="s">
        <v>71</v>
      </c>
      <c r="D36" s="4"/>
      <c r="H36" s="4"/>
      <c r="I36" s="4"/>
      <c r="J36" s="4"/>
    </row>
    <row r="37" spans="2:11" x14ac:dyDescent="0.75">
      <c r="C37" s="52" t="s">
        <v>41</v>
      </c>
      <c r="D37" s="51">
        <v>7.4999999999999997E-3</v>
      </c>
      <c r="E37" t="s">
        <v>72</v>
      </c>
      <c r="H37" s="1"/>
    </row>
    <row r="38" spans="2:11" x14ac:dyDescent="0.75">
      <c r="C38" s="52" t="s">
        <v>41</v>
      </c>
      <c r="D38" s="51">
        <v>1.2E-2</v>
      </c>
      <c r="E38" t="s">
        <v>73</v>
      </c>
      <c r="H38" s="1"/>
    </row>
    <row r="39" spans="2:11" x14ac:dyDescent="0.75">
      <c r="C39" s="52" t="s">
        <v>42</v>
      </c>
      <c r="D39" s="51">
        <v>7.4999999999999997E-3</v>
      </c>
      <c r="E39" t="s">
        <v>72</v>
      </c>
      <c r="H39" s="1"/>
    </row>
    <row r="40" spans="2:11" x14ac:dyDescent="0.75">
      <c r="C40" s="52" t="s">
        <v>42</v>
      </c>
      <c r="D40" s="51">
        <v>1.2E-2</v>
      </c>
      <c r="E40" t="s">
        <v>73</v>
      </c>
      <c r="H40" s="1"/>
    </row>
    <row r="41" spans="2:11" x14ac:dyDescent="0.75">
      <c r="C41" s="52" t="s">
        <v>43</v>
      </c>
      <c r="D41" s="51">
        <v>1E-4</v>
      </c>
      <c r="E41" t="s">
        <v>72</v>
      </c>
      <c r="H41" s="1"/>
    </row>
    <row r="42" spans="2:11" x14ac:dyDescent="0.75">
      <c r="C42" s="52" t="s">
        <v>43</v>
      </c>
      <c r="D42" s="51">
        <v>1E-4</v>
      </c>
      <c r="E42" t="s">
        <v>73</v>
      </c>
      <c r="H42" s="1"/>
    </row>
    <row r="43" spans="2:11" x14ac:dyDescent="0.75">
      <c r="C43" s="1"/>
      <c r="H43" s="1"/>
    </row>
    <row r="44" spans="2:11" x14ac:dyDescent="0.75">
      <c r="C44" s="3" t="s">
        <v>44</v>
      </c>
    </row>
    <row r="47" spans="2:11" x14ac:dyDescent="0.75">
      <c r="C47" s="4" t="s">
        <v>45</v>
      </c>
      <c r="D47" s="32"/>
      <c r="E47" s="33"/>
      <c r="F47" s="34"/>
      <c r="G47" s="33"/>
      <c r="H47" s="35"/>
      <c r="I47" s="33"/>
      <c r="J47" s="33"/>
      <c r="K47" s="33"/>
    </row>
    <row r="48" spans="2:11" x14ac:dyDescent="0.75">
      <c r="C48" s="5" t="s">
        <v>55</v>
      </c>
      <c r="D48" s="32"/>
      <c r="E48" s="33"/>
      <c r="F48" s="34"/>
      <c r="G48" s="33"/>
      <c r="H48" s="35"/>
      <c r="I48" s="33"/>
      <c r="J48" s="33"/>
      <c r="K48" s="33"/>
    </row>
    <row r="49" spans="3:3" x14ac:dyDescent="0.75">
      <c r="C49" t="s">
        <v>56</v>
      </c>
    </row>
    <row r="51" spans="3:3" x14ac:dyDescent="0.75">
      <c r="C51" s="2" t="s">
        <v>58</v>
      </c>
    </row>
  </sheetData>
  <phoneticPr fontId="2" type="noConversion"/>
  <pageMargins left="0.75" right="0.75" top="1" bottom="1" header="0.5" footer="0.5"/>
  <pageSetup paperSize="9" scale="86" orientation="landscape" horizontalDpi="4294967292" verticalDpi="4294967292"/>
  <colBreaks count="1" manualBreakCount="1">
    <brk id="11" max="1048575" man="1"/>
  </colBreaks>
  <ignoredErrors>
    <ignoredError sqref="F11" formula="1"/>
  </ignoredErrors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 tint="-0.14999847407452621"/>
  </sheetPr>
  <dimension ref="B2:O82"/>
  <sheetViews>
    <sheetView topLeftCell="A55" zoomScaleNormal="100" workbookViewId="0">
      <selection activeCell="E7" sqref="E7"/>
    </sheetView>
  </sheetViews>
  <sheetFormatPr defaultColWidth="11.40625" defaultRowHeight="14.25" x14ac:dyDescent="0.65"/>
  <cols>
    <col min="1" max="1" width="3.26953125" style="59" customWidth="1"/>
    <col min="2" max="2" width="2.40625" style="59" customWidth="1"/>
    <col min="3" max="3" width="5.86328125" style="59" customWidth="1"/>
    <col min="4" max="4" width="11.40625" style="59"/>
    <col min="5" max="5" width="10.7265625" style="59" customWidth="1"/>
    <col min="6" max="6" width="16.26953125" style="59" customWidth="1"/>
    <col min="7" max="8" width="14" style="59" customWidth="1"/>
    <col min="9" max="9" width="7.40625" style="59" customWidth="1"/>
    <col min="10" max="10" width="10" style="59" customWidth="1"/>
    <col min="11" max="19" width="8.26953125" style="59" customWidth="1"/>
    <col min="20" max="16384" width="11.40625" style="59"/>
  </cols>
  <sheetData>
    <row r="2" spans="2:15" s="63" customFormat="1" ht="14.5" x14ac:dyDescent="0.7">
      <c r="C2" s="104" t="s">
        <v>88</v>
      </c>
      <c r="D2" s="105"/>
      <c r="E2" s="105"/>
      <c r="G2" s="59"/>
      <c r="H2" s="59"/>
      <c r="I2" s="59"/>
      <c r="J2" s="59"/>
      <c r="K2" s="59"/>
      <c r="L2" s="59"/>
      <c r="M2" s="59"/>
      <c r="N2" s="59"/>
      <c r="O2" s="59"/>
    </row>
    <row r="3" spans="2:15" s="103" customFormat="1" ht="14.5" x14ac:dyDescent="0.7">
      <c r="C3" s="86"/>
      <c r="D3" s="86"/>
      <c r="E3" s="86"/>
      <c r="G3" s="71"/>
      <c r="H3" s="71"/>
      <c r="I3" s="71"/>
      <c r="J3" s="71"/>
      <c r="K3" s="71"/>
      <c r="L3" s="71"/>
      <c r="M3" s="71"/>
      <c r="N3" s="71"/>
      <c r="O3" s="71"/>
    </row>
    <row r="4" spans="2:15" s="103" customFormat="1" ht="14.5" x14ac:dyDescent="0.7">
      <c r="C4" s="63" t="s">
        <v>136</v>
      </c>
      <c r="D4" s="84"/>
      <c r="E4" s="86"/>
      <c r="F4" s="86"/>
      <c r="G4" s="84"/>
      <c r="H4" s="84"/>
      <c r="I4" s="84"/>
      <c r="J4" s="84"/>
      <c r="K4" s="84"/>
      <c r="L4" s="84"/>
      <c r="M4" s="59"/>
      <c r="N4" s="71"/>
      <c r="O4" s="71"/>
    </row>
    <row r="5" spans="2:15" s="103" customFormat="1" ht="15.25" thickBot="1" x14ac:dyDescent="0.85">
      <c r="C5" s="86"/>
      <c r="D5" s="87" t="s">
        <v>9</v>
      </c>
      <c r="E5" s="88" t="s">
        <v>170</v>
      </c>
      <c r="F5" s="88" t="s">
        <v>171</v>
      </c>
      <c r="G5" s="88">
        <v>2024</v>
      </c>
      <c r="H5" s="100" t="s">
        <v>181</v>
      </c>
      <c r="I5" s="88" t="s">
        <v>182</v>
      </c>
      <c r="J5" s="101">
        <v>2025</v>
      </c>
      <c r="K5" s="88" t="s">
        <v>183</v>
      </c>
      <c r="L5" s="88" t="s">
        <v>184</v>
      </c>
      <c r="M5" s="88">
        <v>2026</v>
      </c>
      <c r="N5" s="71"/>
      <c r="O5" s="71"/>
    </row>
    <row r="6" spans="2:15" s="103" customFormat="1" ht="15.25" thickTop="1" x14ac:dyDescent="0.7">
      <c r="C6" s="86"/>
      <c r="D6" s="89" t="s">
        <v>54</v>
      </c>
      <c r="E6" s="316">
        <v>6.5</v>
      </c>
      <c r="F6" s="316">
        <v>6.5</v>
      </c>
      <c r="G6" s="316">
        <v>13</v>
      </c>
      <c r="H6" s="317">
        <v>1.1000000000000001</v>
      </c>
      <c r="I6" s="316">
        <f>J6-H6</f>
        <v>1.1000000000000001</v>
      </c>
      <c r="J6" s="318">
        <v>2.2000000000000002</v>
      </c>
      <c r="K6" s="316">
        <v>1.2</v>
      </c>
      <c r="L6" s="316">
        <f>M6-K6</f>
        <v>1.2</v>
      </c>
      <c r="M6" s="316">
        <v>2.4</v>
      </c>
      <c r="N6" s="71"/>
      <c r="O6" s="71"/>
    </row>
    <row r="7" spans="2:15" s="103" customFormat="1" ht="14.5" x14ac:dyDescent="0.7">
      <c r="C7" s="86"/>
      <c r="D7" s="90" t="s">
        <v>80</v>
      </c>
      <c r="E7" s="319">
        <v>87</v>
      </c>
      <c r="F7" s="319">
        <v>87</v>
      </c>
      <c r="G7" s="319">
        <v>87</v>
      </c>
      <c r="H7" s="320">
        <v>1</v>
      </c>
      <c r="I7" s="319">
        <v>2</v>
      </c>
      <c r="J7" s="321">
        <v>2</v>
      </c>
      <c r="K7" s="319">
        <v>1</v>
      </c>
      <c r="L7" s="319">
        <v>2</v>
      </c>
      <c r="M7" s="319">
        <v>2</v>
      </c>
      <c r="N7" s="71"/>
      <c r="O7" s="71"/>
    </row>
    <row r="8" spans="2:15" s="103" customFormat="1" ht="14.5" x14ac:dyDescent="0.7">
      <c r="C8" s="86"/>
      <c r="D8" s="84"/>
      <c r="E8" s="85" t="s">
        <v>134</v>
      </c>
      <c r="F8" s="84"/>
      <c r="G8" s="84"/>
      <c r="H8" s="84"/>
      <c r="I8" s="59"/>
      <c r="J8" s="59"/>
      <c r="K8" s="110"/>
      <c r="L8" s="110"/>
      <c r="M8" s="110"/>
      <c r="N8" s="71"/>
      <c r="O8" s="71"/>
    </row>
    <row r="10" spans="2:15" x14ac:dyDescent="0.65">
      <c r="B10" s="110"/>
    </row>
    <row r="11" spans="2:15" ht="14.5" x14ac:dyDescent="0.7">
      <c r="B11" s="110"/>
      <c r="C11" s="63" t="s">
        <v>76</v>
      </c>
    </row>
    <row r="12" spans="2:15" x14ac:dyDescent="0.65">
      <c r="B12" s="110"/>
      <c r="D12" s="59" t="s">
        <v>77</v>
      </c>
    </row>
    <row r="13" spans="2:15" x14ac:dyDescent="0.65">
      <c r="B13" s="110"/>
      <c r="D13" s="59" t="s">
        <v>78</v>
      </c>
    </row>
    <row r="14" spans="2:15" x14ac:dyDescent="0.65">
      <c r="B14" s="110"/>
      <c r="D14" s="59" t="s">
        <v>46</v>
      </c>
    </row>
    <row r="15" spans="2:15" x14ac:dyDescent="0.65">
      <c r="B15" s="110"/>
      <c r="F15" s="96" t="s">
        <v>81</v>
      </c>
      <c r="G15" s="96" t="s">
        <v>90</v>
      </c>
    </row>
    <row r="16" spans="2:15" ht="14.5" x14ac:dyDescent="0.7">
      <c r="B16" s="110"/>
      <c r="C16" s="63"/>
      <c r="D16" s="59" t="s">
        <v>172</v>
      </c>
      <c r="F16" s="322">
        <f>Sleutels!G6*1000000</f>
        <v>13000000</v>
      </c>
      <c r="G16" s="323">
        <v>1</v>
      </c>
      <c r="H16" s="63"/>
      <c r="I16" s="63"/>
      <c r="J16" s="63"/>
      <c r="K16" s="63"/>
      <c r="L16" s="63"/>
      <c r="M16" s="63"/>
      <c r="N16" s="63"/>
      <c r="O16" s="63"/>
    </row>
    <row r="17" spans="2:15" ht="14.5" x14ac:dyDescent="0.7">
      <c r="B17" s="110"/>
      <c r="C17" s="63"/>
      <c r="D17" s="59" t="s">
        <v>173</v>
      </c>
      <c r="F17" s="322">
        <v>200000</v>
      </c>
      <c r="G17" s="324">
        <f>G16/F16*F17</f>
        <v>1.5384615384615384E-2</v>
      </c>
      <c r="H17" s="63"/>
      <c r="I17" s="63"/>
      <c r="J17" s="63"/>
      <c r="K17" s="63"/>
      <c r="L17" s="63"/>
      <c r="M17" s="63"/>
      <c r="N17" s="63"/>
      <c r="O17" s="63"/>
    </row>
    <row r="18" spans="2:15" x14ac:dyDescent="0.65">
      <c r="B18" s="110"/>
    </row>
    <row r="19" spans="2:15" x14ac:dyDescent="0.65">
      <c r="B19" s="110"/>
    </row>
    <row r="20" spans="2:15" x14ac:dyDescent="0.65">
      <c r="B20" s="110"/>
      <c r="D20" s="59" t="s">
        <v>185</v>
      </c>
      <c r="F20" s="322">
        <f>Sleutels!J6*1000000</f>
        <v>2200000</v>
      </c>
      <c r="G20" s="323">
        <v>1</v>
      </c>
    </row>
    <row r="21" spans="2:15" ht="14.5" x14ac:dyDescent="0.7">
      <c r="B21" s="110"/>
      <c r="D21" s="59" t="s">
        <v>186</v>
      </c>
      <c r="F21" s="322">
        <v>220000</v>
      </c>
      <c r="G21" s="324">
        <f>G20/F20*F21</f>
        <v>9.9999999999999992E-2</v>
      </c>
    </row>
    <row r="22" spans="2:15" x14ac:dyDescent="0.65">
      <c r="B22" s="110"/>
    </row>
    <row r="23" spans="2:15" x14ac:dyDescent="0.65">
      <c r="B23" s="110"/>
    </row>
    <row r="24" spans="2:15" x14ac:dyDescent="0.65">
      <c r="B24" s="110"/>
      <c r="D24" s="59" t="s">
        <v>187</v>
      </c>
      <c r="F24" s="322">
        <f>Sleutels!M6*1000000</f>
        <v>2400000</v>
      </c>
      <c r="G24" s="323">
        <v>1</v>
      </c>
    </row>
    <row r="25" spans="2:15" ht="14.5" x14ac:dyDescent="0.7">
      <c r="B25" s="110"/>
      <c r="D25" s="59" t="s">
        <v>188</v>
      </c>
      <c r="F25" s="322">
        <v>240000</v>
      </c>
      <c r="G25" s="324">
        <f>G24/F24*F25</f>
        <v>0.1</v>
      </c>
    </row>
    <row r="26" spans="2:15" x14ac:dyDescent="0.65">
      <c r="B26" s="110"/>
    </row>
    <row r="27" spans="2:15" x14ac:dyDescent="0.65">
      <c r="B27" s="110"/>
    </row>
    <row r="28" spans="2:15" ht="14.5" x14ac:dyDescent="0.7">
      <c r="B28" s="110"/>
      <c r="C28" s="63" t="s">
        <v>103</v>
      </c>
    </row>
    <row r="29" spans="2:15" x14ac:dyDescent="0.65">
      <c r="B29" s="110"/>
      <c r="D29" s="59" t="s">
        <v>104</v>
      </c>
    </row>
    <row r="30" spans="2:15" ht="14.5" x14ac:dyDescent="0.7">
      <c r="B30" s="110"/>
      <c r="F30" s="103">
        <v>2024</v>
      </c>
      <c r="G30" s="96" t="s">
        <v>168</v>
      </c>
      <c r="H30" s="96" t="s">
        <v>148</v>
      </c>
      <c r="I30" s="103">
        <v>2025</v>
      </c>
      <c r="J30" s="96" t="s">
        <v>87</v>
      </c>
      <c r="K30" s="96" t="s">
        <v>86</v>
      </c>
      <c r="L30" s="103">
        <v>2026</v>
      </c>
      <c r="M30" s="96" t="s">
        <v>87</v>
      </c>
      <c r="N30" s="96" t="s">
        <v>86</v>
      </c>
      <c r="O30" s="103" t="s">
        <v>85</v>
      </c>
    </row>
    <row r="31" spans="2:15" x14ac:dyDescent="0.65">
      <c r="B31" s="110"/>
      <c r="D31" s="59" t="s">
        <v>156</v>
      </c>
      <c r="G31" s="323">
        <v>0.2</v>
      </c>
      <c r="H31" s="323">
        <v>0.8</v>
      </c>
      <c r="J31" s="323">
        <f t="shared" ref="J31:K37" si="0">G31</f>
        <v>0.2</v>
      </c>
      <c r="K31" s="323">
        <f t="shared" si="0"/>
        <v>0.8</v>
      </c>
      <c r="M31" s="91">
        <f t="shared" ref="M31:N37" si="1">J31</f>
        <v>0.2</v>
      </c>
      <c r="N31" s="91">
        <f t="shared" si="1"/>
        <v>0.8</v>
      </c>
      <c r="O31" s="59" t="s">
        <v>84</v>
      </c>
    </row>
    <row r="32" spans="2:15" x14ac:dyDescent="0.65">
      <c r="B32" s="110"/>
      <c r="D32" s="59" t="s">
        <v>157</v>
      </c>
      <c r="G32" s="323" t="s">
        <v>89</v>
      </c>
      <c r="H32" s="323">
        <v>1</v>
      </c>
      <c r="J32" s="323" t="str">
        <f t="shared" si="0"/>
        <v>x</v>
      </c>
      <c r="K32" s="323">
        <f t="shared" si="0"/>
        <v>1</v>
      </c>
      <c r="M32" s="91" t="s">
        <v>89</v>
      </c>
      <c r="N32" s="91">
        <f t="shared" si="1"/>
        <v>1</v>
      </c>
      <c r="O32" s="59" t="s">
        <v>83</v>
      </c>
    </row>
    <row r="33" spans="2:15" x14ac:dyDescent="0.65">
      <c r="B33" s="110"/>
      <c r="D33" s="59" t="s">
        <v>8</v>
      </c>
      <c r="G33" s="323">
        <v>0.3</v>
      </c>
      <c r="H33" s="323">
        <v>0.7</v>
      </c>
      <c r="J33" s="323">
        <f t="shared" si="0"/>
        <v>0.3</v>
      </c>
      <c r="K33" s="323">
        <f t="shared" si="0"/>
        <v>0.7</v>
      </c>
      <c r="M33" s="91">
        <f t="shared" si="1"/>
        <v>0.3</v>
      </c>
      <c r="N33" s="91">
        <f t="shared" si="1"/>
        <v>0.7</v>
      </c>
    </row>
    <row r="34" spans="2:15" x14ac:dyDescent="0.65">
      <c r="B34" s="110"/>
      <c r="D34" s="59" t="s">
        <v>101</v>
      </c>
      <c r="G34" s="323">
        <v>0.9</v>
      </c>
      <c r="H34" s="323">
        <v>0.1</v>
      </c>
      <c r="J34" s="323">
        <f t="shared" si="0"/>
        <v>0.9</v>
      </c>
      <c r="K34" s="323">
        <f t="shared" si="0"/>
        <v>0.1</v>
      </c>
      <c r="M34" s="91">
        <f t="shared" si="1"/>
        <v>0.9</v>
      </c>
      <c r="N34" s="91">
        <f t="shared" si="1"/>
        <v>0.1</v>
      </c>
    </row>
    <row r="35" spans="2:15" x14ac:dyDescent="0.65">
      <c r="B35" s="110"/>
      <c r="D35" s="59" t="s">
        <v>102</v>
      </c>
      <c r="G35" s="323">
        <v>0.9</v>
      </c>
      <c r="H35" s="323">
        <v>0.1</v>
      </c>
      <c r="J35" s="323">
        <f t="shared" si="0"/>
        <v>0.9</v>
      </c>
      <c r="K35" s="323">
        <f t="shared" si="0"/>
        <v>0.1</v>
      </c>
      <c r="M35" s="91">
        <f t="shared" si="1"/>
        <v>0.9</v>
      </c>
      <c r="N35" s="91">
        <f t="shared" si="1"/>
        <v>0.1</v>
      </c>
    </row>
    <row r="36" spans="2:15" s="63" customFormat="1" ht="14.5" x14ac:dyDescent="0.7">
      <c r="B36" s="110"/>
      <c r="C36" s="59"/>
      <c r="D36" s="59" t="s">
        <v>27</v>
      </c>
      <c r="E36" s="59"/>
      <c r="G36" s="323">
        <v>0.6</v>
      </c>
      <c r="H36" s="323">
        <v>0.4</v>
      </c>
      <c r="J36" s="323">
        <f t="shared" si="0"/>
        <v>0.6</v>
      </c>
      <c r="K36" s="323">
        <f t="shared" si="0"/>
        <v>0.4</v>
      </c>
      <c r="M36" s="91">
        <f t="shared" si="1"/>
        <v>0.6</v>
      </c>
      <c r="N36" s="91">
        <f t="shared" si="1"/>
        <v>0.4</v>
      </c>
      <c r="O36" s="59"/>
    </row>
    <row r="37" spans="2:15" s="63" customFormat="1" ht="14.5" x14ac:dyDescent="0.7">
      <c r="B37" s="110"/>
      <c r="C37" s="59"/>
      <c r="D37" s="59" t="s">
        <v>107</v>
      </c>
      <c r="E37" s="59"/>
      <c r="G37" s="323" t="s">
        <v>89</v>
      </c>
      <c r="H37" s="323" t="s">
        <v>89</v>
      </c>
      <c r="J37" s="323" t="str">
        <f t="shared" si="0"/>
        <v>x</v>
      </c>
      <c r="K37" s="323" t="str">
        <f t="shared" si="0"/>
        <v>x</v>
      </c>
      <c r="M37" s="91" t="str">
        <f t="shared" si="1"/>
        <v>x</v>
      </c>
      <c r="N37" s="91" t="str">
        <f t="shared" si="1"/>
        <v>x</v>
      </c>
      <c r="O37" s="92"/>
    </row>
    <row r="38" spans="2:15" x14ac:dyDescent="0.65">
      <c r="B38" s="110"/>
      <c r="D38" s="109" t="s">
        <v>100</v>
      </c>
      <c r="G38" s="62"/>
      <c r="H38" s="62"/>
    </row>
    <row r="39" spans="2:15" s="63" customFormat="1" ht="14.5" x14ac:dyDescent="0.7">
      <c r="C39" s="59"/>
      <c r="D39" s="59"/>
      <c r="E39" s="62"/>
      <c r="F39" s="59"/>
      <c r="G39" s="59"/>
      <c r="H39" s="59"/>
      <c r="I39" s="59"/>
      <c r="J39" s="59"/>
      <c r="K39" s="59"/>
      <c r="L39" s="59"/>
      <c r="M39" s="59"/>
      <c r="N39" s="59"/>
      <c r="O39" s="59"/>
    </row>
    <row r="40" spans="2:15" s="63" customFormat="1" ht="14.5" x14ac:dyDescent="0.7">
      <c r="C40" s="59"/>
      <c r="D40" s="59"/>
      <c r="E40" s="62"/>
      <c r="F40" s="59"/>
      <c r="G40" s="59"/>
      <c r="H40" s="59"/>
      <c r="I40" s="59"/>
      <c r="J40" s="59"/>
      <c r="K40" s="59"/>
      <c r="L40" s="59"/>
      <c r="M40" s="59"/>
      <c r="N40" s="59"/>
      <c r="O40" s="59"/>
    </row>
    <row r="41" spans="2:15" ht="14.75" x14ac:dyDescent="0.75">
      <c r="C41" s="86" t="s">
        <v>94</v>
      </c>
      <c r="E41" s="106"/>
      <c r="F41" s="106" t="s">
        <v>82</v>
      </c>
      <c r="G41" s="107" t="s">
        <v>118</v>
      </c>
    </row>
    <row r="42" spans="2:15" x14ac:dyDescent="0.65">
      <c r="D42" s="59" t="s">
        <v>95</v>
      </c>
    </row>
    <row r="45" spans="2:15" s="63" customFormat="1" ht="14.5" x14ac:dyDescent="0.7"/>
    <row r="46" spans="2:15" s="63" customFormat="1" ht="14.5" x14ac:dyDescent="0.7"/>
    <row r="80" spans="4:4" x14ac:dyDescent="0.65">
      <c r="D80" s="92" t="s">
        <v>122</v>
      </c>
    </row>
    <row r="81" spans="4:4" x14ac:dyDescent="0.65">
      <c r="D81" s="111" t="s">
        <v>123</v>
      </c>
    </row>
    <row r="82" spans="4:4" x14ac:dyDescent="0.65">
      <c r="D82" s="111" t="s">
        <v>124</v>
      </c>
    </row>
  </sheetData>
  <phoneticPr fontId="2" type="noConversion"/>
  <pageMargins left="0.75" right="0.75" top="1" bottom="1" header="0.5" footer="0.5"/>
  <pageSetup paperSize="9" orientation="landscape" horizontalDpi="4294967292" verticalDpi="429496729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Q39"/>
  <sheetViews>
    <sheetView zoomScale="120" zoomScaleNormal="120" zoomScalePageLayoutView="130" workbookViewId="0">
      <selection activeCell="H6" sqref="H6"/>
    </sheetView>
  </sheetViews>
  <sheetFormatPr defaultColWidth="8.86328125" defaultRowHeight="14.15" customHeight="1" x14ac:dyDescent="0.65"/>
  <cols>
    <col min="1" max="1" width="1.26953125" style="59" customWidth="1"/>
    <col min="2" max="2" width="1.7265625" style="59" customWidth="1"/>
    <col min="3" max="3" width="10.86328125" style="59" customWidth="1"/>
    <col min="4" max="4" width="1.86328125" style="59" customWidth="1"/>
    <col min="5" max="5" width="20.7265625" style="59" customWidth="1"/>
    <col min="6" max="6" width="8" style="62" customWidth="1"/>
    <col min="7" max="7" width="8" style="59" customWidth="1"/>
    <col min="8" max="8" width="11.7265625" style="62" customWidth="1"/>
    <col min="9" max="26" width="7.40625" style="59" customWidth="1"/>
    <col min="27" max="16384" width="8.86328125" style="59"/>
  </cols>
  <sheetData>
    <row r="1" spans="1:15" s="55" customFormat="1" ht="14.15" customHeight="1" x14ac:dyDescent="0.75">
      <c r="F1" s="56"/>
      <c r="H1" s="57"/>
    </row>
    <row r="2" spans="1:15" s="55" customFormat="1" ht="14.15" customHeight="1" x14ac:dyDescent="0.75">
      <c r="B2" s="94"/>
      <c r="F2" s="56"/>
      <c r="H2" s="372" t="s">
        <v>119</v>
      </c>
      <c r="I2" s="373"/>
      <c r="K2" s="374" t="str" cm="1">
        <f t="array" aca="1" ref="K2" ca="1">MID(CELL("filename",$A$1),SEARCH("]", CELL("filename",$A$1))+1,999)</f>
        <v>2024 H1</v>
      </c>
      <c r="L2" s="374"/>
      <c r="M2" s="374"/>
    </row>
    <row r="3" spans="1:15" s="55" customFormat="1" ht="14.15" customHeight="1" x14ac:dyDescent="0.75">
      <c r="F3" s="56"/>
      <c r="G3" s="58"/>
      <c r="H3" s="57"/>
    </row>
    <row r="4" spans="1:15" s="55" customFormat="1" ht="14.15" customHeight="1" x14ac:dyDescent="0.75">
      <c r="F4" s="56"/>
      <c r="H4" s="57"/>
    </row>
    <row r="6" spans="1:15" ht="14.15" customHeight="1" x14ac:dyDescent="0.7">
      <c r="B6" s="60" t="s">
        <v>5</v>
      </c>
      <c r="C6" s="61"/>
      <c r="D6" s="61"/>
      <c r="E6" s="163" t="s">
        <v>217</v>
      </c>
      <c r="G6" s="63"/>
      <c r="O6" s="64" t="s">
        <v>4</v>
      </c>
    </row>
    <row r="7" spans="1:15" ht="14.15" customHeight="1" x14ac:dyDescent="0.65">
      <c r="B7" s="61" t="s">
        <v>6</v>
      </c>
      <c r="C7" s="61"/>
      <c r="D7" s="61"/>
      <c r="E7" s="164">
        <v>27183387</v>
      </c>
    </row>
    <row r="8" spans="1:15" ht="14.15" customHeight="1" x14ac:dyDescent="0.65">
      <c r="B8" s="61" t="s">
        <v>11</v>
      </c>
      <c r="C8" s="61"/>
      <c r="D8" s="61"/>
      <c r="E8" s="164" t="s">
        <v>164</v>
      </c>
    </row>
    <row r="9" spans="1:15" ht="14.15" customHeight="1" x14ac:dyDescent="0.65">
      <c r="F9" s="95"/>
    </row>
    <row r="10" spans="1:15" ht="14.15" customHeight="1" x14ac:dyDescent="0.65">
      <c r="A10" s="67"/>
      <c r="B10" s="67"/>
      <c r="C10" s="67"/>
      <c r="D10" s="67"/>
      <c r="E10" s="67"/>
      <c r="F10" s="67"/>
      <c r="G10" s="67"/>
      <c r="H10" s="68"/>
    </row>
    <row r="11" spans="1:15" s="71" customFormat="1" ht="14.15" customHeight="1" x14ac:dyDescent="0.65">
      <c r="A11" s="69"/>
      <c r="B11" s="69"/>
      <c r="C11" s="69"/>
      <c r="D11" s="69"/>
      <c r="E11" s="69"/>
      <c r="F11" s="375" t="s">
        <v>120</v>
      </c>
      <c r="G11" s="375"/>
      <c r="H11" s="70" t="s">
        <v>7</v>
      </c>
    </row>
    <row r="12" spans="1:15" s="77" customFormat="1" ht="14.15" customHeight="1" x14ac:dyDescent="0.65">
      <c r="A12" s="72"/>
      <c r="B12" s="72" t="s">
        <v>1</v>
      </c>
      <c r="C12" s="72"/>
      <c r="D12" s="72"/>
      <c r="E12" s="73"/>
      <c r="F12" s="74"/>
      <c r="G12" s="75">
        <f>SUM(F13:F18)</f>
        <v>636.77396299999998</v>
      </c>
      <c r="H12" s="76">
        <f>G12/F30</f>
        <v>0.95792352265819669</v>
      </c>
    </row>
    <row r="13" spans="1:15" ht="14.15" customHeight="1" x14ac:dyDescent="0.65">
      <c r="A13" s="67"/>
      <c r="B13" s="67"/>
      <c r="C13" s="67" t="s">
        <v>155</v>
      </c>
      <c r="D13" s="67"/>
      <c r="E13" s="67"/>
      <c r="F13" s="78">
        <f>'A Inzicht'!N7+'A Inzicht'!N8+'A Inzicht'!N9+'A Inzicht'!N10+'A Inzicht'!N11+'A Inzicht'!N12+'A Inzicht'!N13</f>
        <v>9.2049230000000009</v>
      </c>
      <c r="G13" s="67"/>
      <c r="H13" s="79">
        <f>F13/F30</f>
        <v>1.3847319108990418E-2</v>
      </c>
    </row>
    <row r="14" spans="1:15" ht="14.15" customHeight="1" x14ac:dyDescent="0.65">
      <c r="A14" s="67"/>
      <c r="B14" s="67"/>
      <c r="C14" s="67" t="s">
        <v>154</v>
      </c>
      <c r="D14" s="67"/>
      <c r="E14" s="67"/>
      <c r="F14" s="78">
        <f>'A Inzicht'!N14+'A Inzicht'!N15+'A Inzicht'!N16+'A Inzicht'!N17+'A Inzicht'!N18+'A Inzicht'!N19+'A Inzicht'!N20</f>
        <v>603.19022399999994</v>
      </c>
      <c r="G14" s="67"/>
      <c r="H14" s="79">
        <f>F14/F30</f>
        <v>0.90740221457055192</v>
      </c>
    </row>
    <row r="15" spans="1:15" ht="14.15" customHeight="1" x14ac:dyDescent="0.65">
      <c r="A15" s="67"/>
      <c r="B15" s="67"/>
      <c r="C15" s="67" t="s">
        <v>48</v>
      </c>
      <c r="D15" s="67"/>
      <c r="E15" s="67"/>
      <c r="F15" s="78">
        <f>'A Inzicht'!N21+'A Inzicht'!N22+'A Inzicht'!N23+'A Inzicht'!N24</f>
        <v>0</v>
      </c>
      <c r="G15" s="67"/>
      <c r="H15" s="79">
        <f>F15/F30</f>
        <v>0</v>
      </c>
    </row>
    <row r="16" spans="1:15" ht="14.15" customHeight="1" x14ac:dyDescent="0.65">
      <c r="A16" s="67"/>
      <c r="B16" s="67"/>
      <c r="C16" s="67" t="s">
        <v>8</v>
      </c>
      <c r="D16" s="67"/>
      <c r="E16" s="67"/>
      <c r="F16" s="80">
        <f>'A Inzicht'!N24+'A Inzicht'!N25+'A Inzicht'!N26+'A Inzicht'!N27+'A Inzicht'!N28+'A Inzicht'!N29+'A Inzicht'!N30</f>
        <v>0</v>
      </c>
      <c r="G16" s="67"/>
      <c r="H16" s="79">
        <f>F16/F30</f>
        <v>0</v>
      </c>
    </row>
    <row r="17" spans="1:17" ht="14.15" customHeight="1" x14ac:dyDescent="0.65">
      <c r="A17" s="67"/>
      <c r="B17" s="67"/>
      <c r="C17" s="67" t="s">
        <v>143</v>
      </c>
      <c r="D17" s="67"/>
      <c r="E17" s="67"/>
      <c r="F17" s="80">
        <f>'A Inzicht'!N31+'A Inzicht'!N32+'A Inzicht'!N33</f>
        <v>24.378816</v>
      </c>
      <c r="G17" s="67"/>
      <c r="H17" s="79">
        <f>F17/F30</f>
        <v>3.667398897865428E-2</v>
      </c>
    </row>
    <row r="18" spans="1:17" ht="14.15" customHeight="1" x14ac:dyDescent="0.65">
      <c r="A18" s="67"/>
      <c r="B18" s="67"/>
      <c r="C18" s="67"/>
      <c r="D18" s="67"/>
      <c r="E18" s="67"/>
      <c r="F18" s="68"/>
      <c r="G18" s="67"/>
      <c r="H18" s="79"/>
    </row>
    <row r="19" spans="1:17" s="77" customFormat="1" ht="14.15" customHeight="1" x14ac:dyDescent="0.65">
      <c r="A19" s="72"/>
      <c r="B19" s="72" t="s">
        <v>0</v>
      </c>
      <c r="C19" s="72"/>
      <c r="D19" s="72"/>
      <c r="E19" s="73"/>
      <c r="F19" s="74"/>
      <c r="G19" s="75">
        <f>SUM(F20:F23)</f>
        <v>27.970088000000001</v>
      </c>
      <c r="H19" s="76">
        <f>G19/F30</f>
        <v>4.2076477341803246E-2</v>
      </c>
    </row>
    <row r="20" spans="1:17" ht="14.15" customHeight="1" x14ac:dyDescent="0.65">
      <c r="A20" s="67"/>
      <c r="B20" s="67"/>
      <c r="C20" s="67" t="s">
        <v>60</v>
      </c>
      <c r="D20" s="67"/>
      <c r="E20" s="67"/>
      <c r="F20" s="80">
        <f>'A Inzicht'!N36+'A Inzicht'!N37+'A Inzicht'!N38+'A Inzicht'!N39</f>
        <v>27.970088000000001</v>
      </c>
      <c r="G20" s="67"/>
      <c r="H20" s="79">
        <f>F20/F30</f>
        <v>4.2076477341803246E-2</v>
      </c>
    </row>
    <row r="21" spans="1:17" ht="14.15" customHeight="1" x14ac:dyDescent="0.65">
      <c r="A21" s="67"/>
      <c r="B21" s="67"/>
      <c r="C21" s="67" t="s">
        <v>79</v>
      </c>
      <c r="D21" s="67"/>
      <c r="E21" s="67"/>
      <c r="F21" s="80">
        <f>'A Inzicht'!N40+'A Inzicht'!N41+'A Inzicht'!N42</f>
        <v>0</v>
      </c>
      <c r="G21" s="67"/>
      <c r="H21" s="79">
        <f>F21/F30</f>
        <v>0</v>
      </c>
    </row>
    <row r="22" spans="1:17" ht="14.15" customHeight="1" x14ac:dyDescent="0.65">
      <c r="A22" s="67"/>
      <c r="B22" s="67"/>
      <c r="C22" s="67" t="s">
        <v>59</v>
      </c>
      <c r="D22" s="67"/>
      <c r="E22" s="67"/>
      <c r="F22" s="80">
        <f>'A Inzicht'!N43+'A Inzicht'!N44+'A Inzicht'!N45+'A Inzicht'!N46+'A Inzicht'!N47+'A Inzicht'!N48</f>
        <v>0</v>
      </c>
      <c r="G22" s="67"/>
      <c r="H22" s="79">
        <f>F22/F30</f>
        <v>0</v>
      </c>
    </row>
    <row r="23" spans="1:17" ht="14.15" customHeight="1" x14ac:dyDescent="0.65">
      <c r="A23" s="67"/>
      <c r="B23" s="67"/>
      <c r="C23" s="67"/>
      <c r="D23" s="67"/>
      <c r="E23" s="67"/>
      <c r="F23" s="68"/>
      <c r="G23" s="67"/>
      <c r="H23" s="79"/>
    </row>
    <row r="24" spans="1:17" ht="14.15" customHeight="1" x14ac:dyDescent="0.65">
      <c r="A24" s="67"/>
      <c r="B24" s="72" t="s">
        <v>93</v>
      </c>
      <c r="C24" s="67"/>
      <c r="D24" s="67"/>
      <c r="E24" s="67"/>
      <c r="F24" s="68"/>
      <c r="G24" s="75">
        <f>SUM(F25:F29)</f>
        <v>0</v>
      </c>
      <c r="H24" s="76">
        <f>G24/F30</f>
        <v>0</v>
      </c>
    </row>
    <row r="25" spans="1:17" ht="14.15" customHeight="1" x14ac:dyDescent="0.65">
      <c r="A25" s="67"/>
      <c r="B25" s="67"/>
      <c r="C25" s="67" t="s">
        <v>25</v>
      </c>
      <c r="D25" s="67"/>
      <c r="E25" s="67"/>
      <c r="F25" s="80">
        <f>'A Inzicht'!N51+'A Inzicht'!N52+'A Inzicht'!N53+'A Inzicht'!N54+'A Inzicht'!N55+'A Inzicht'!N56+'A Inzicht'!N57+'A Inzicht'!N58+'A Inzicht'!N59+'A Inzicht'!N60+'A Inzicht'!N61</f>
        <v>0</v>
      </c>
      <c r="G25" s="67"/>
      <c r="H25" s="79">
        <f>F25/F30</f>
        <v>0</v>
      </c>
    </row>
    <row r="26" spans="1:17" ht="14.15" customHeight="1" x14ac:dyDescent="0.65">
      <c r="A26" s="67"/>
      <c r="B26" s="67"/>
      <c r="C26" s="67" t="s">
        <v>27</v>
      </c>
      <c r="D26" s="67"/>
      <c r="E26" s="67"/>
      <c r="F26" s="80">
        <f>'A Inzicht'!N62+'A Inzicht'!N63+'A Inzicht'!N64+'A Inzicht'!N65+'A Inzicht'!N66+'A Inzicht'!N67+'A Inzicht'!N68+'A Inzicht'!N69+'A Inzicht'!N70</f>
        <v>0</v>
      </c>
      <c r="G26" s="67"/>
      <c r="H26" s="79">
        <f>F26/F30</f>
        <v>0</v>
      </c>
      <c r="Q26" s="81"/>
    </row>
    <row r="27" spans="1:17" ht="14.15" customHeight="1" x14ac:dyDescent="0.65">
      <c r="A27" s="67"/>
      <c r="B27" s="67"/>
      <c r="C27" s="67" t="s">
        <v>13</v>
      </c>
      <c r="D27" s="67"/>
      <c r="E27" s="67"/>
      <c r="F27" s="80">
        <f>'A Inzicht'!N71+'A Inzicht'!N72+'A Inzicht'!N73</f>
        <v>0</v>
      </c>
      <c r="G27" s="67"/>
      <c r="H27" s="79">
        <f>F27/F30</f>
        <v>0</v>
      </c>
    </row>
    <row r="28" spans="1:17" ht="14.15" customHeight="1" x14ac:dyDescent="0.65">
      <c r="A28" s="67"/>
      <c r="B28" s="67"/>
      <c r="C28" s="67" t="s">
        <v>30</v>
      </c>
      <c r="D28" s="67"/>
      <c r="E28" s="67"/>
      <c r="F28" s="80">
        <f>'A Inzicht'!N74+'A Inzicht'!N75</f>
        <v>0</v>
      </c>
      <c r="G28" s="67"/>
      <c r="H28" s="79">
        <f>F28/F30</f>
        <v>0</v>
      </c>
      <c r="Q28" s="81"/>
    </row>
    <row r="29" spans="1:17" ht="14.15" customHeight="1" x14ac:dyDescent="0.65">
      <c r="A29" s="67"/>
      <c r="B29" s="67"/>
      <c r="C29" s="67"/>
      <c r="D29" s="67"/>
      <c r="E29" s="67"/>
      <c r="F29" s="68"/>
      <c r="G29" s="67"/>
      <c r="H29" s="79"/>
    </row>
    <row r="30" spans="1:17" ht="14.15" customHeight="1" x14ac:dyDescent="0.65">
      <c r="A30" s="67"/>
      <c r="B30" s="67"/>
      <c r="C30" s="67"/>
      <c r="D30" s="67"/>
      <c r="E30" s="73" t="s">
        <v>20</v>
      </c>
      <c r="F30" s="82">
        <f>G12+G19+G24</f>
        <v>664.74405100000001</v>
      </c>
      <c r="G30" s="72" t="s">
        <v>120</v>
      </c>
      <c r="H30" s="79"/>
    </row>
    <row r="31" spans="1:17" ht="14.15" customHeight="1" x14ac:dyDescent="0.65">
      <c r="A31" s="67"/>
      <c r="B31" s="67"/>
      <c r="C31" s="67"/>
      <c r="D31" s="67"/>
      <c r="E31" s="67"/>
      <c r="F31" s="68"/>
      <c r="G31" s="67"/>
      <c r="H31" s="79"/>
    </row>
    <row r="33" spans="1:8" ht="14.15" customHeight="1" x14ac:dyDescent="0.65">
      <c r="A33" s="59" t="s">
        <v>21</v>
      </c>
      <c r="D33" s="59" t="s">
        <v>135</v>
      </c>
      <c r="F33" s="59"/>
      <c r="G33" s="93">
        <f>G12/Sleutels!E6</f>
        <v>97.965225076923076</v>
      </c>
      <c r="H33" s="66" t="s">
        <v>120</v>
      </c>
    </row>
    <row r="34" spans="1:8" ht="14.15" customHeight="1" x14ac:dyDescent="0.65">
      <c r="D34" s="59" t="s">
        <v>121</v>
      </c>
      <c r="F34" s="59"/>
      <c r="G34" s="93">
        <f>G12/(Sleutels!E7/2)</f>
        <v>14.638481908045977</v>
      </c>
      <c r="H34" s="66" t="s">
        <v>120</v>
      </c>
    </row>
    <row r="35" spans="1:8" ht="14.15" customHeight="1" x14ac:dyDescent="0.65">
      <c r="A35" s="59" t="s">
        <v>137</v>
      </c>
    </row>
    <row r="36" spans="1:8" ht="14.15" customHeight="1" x14ac:dyDescent="0.65">
      <c r="D36" s="59" t="s">
        <v>135</v>
      </c>
      <c r="F36" s="59"/>
      <c r="G36" s="93">
        <f>(G19+G24)/Sleutels!E6</f>
        <v>4.3030904615384618</v>
      </c>
      <c r="H36" s="66" t="s">
        <v>120</v>
      </c>
    </row>
    <row r="37" spans="1:8" ht="14.15" customHeight="1" x14ac:dyDescent="0.65">
      <c r="A37" s="84"/>
      <c r="D37" s="59" t="s">
        <v>121</v>
      </c>
      <c r="F37" s="59"/>
      <c r="G37" s="93">
        <f>(G19+G24)/(Sleutels!E7/2)</f>
        <v>0.64299052873563223</v>
      </c>
      <c r="H37" s="66" t="s">
        <v>120</v>
      </c>
    </row>
    <row r="38" spans="1:8" ht="14.15" customHeight="1" x14ac:dyDescent="0.65">
      <c r="C38" s="84"/>
      <c r="E38" s="84"/>
      <c r="F38" s="84"/>
      <c r="G38" s="93"/>
      <c r="H38" s="66"/>
    </row>
    <row r="39" spans="1:8" ht="14.15" customHeight="1" x14ac:dyDescent="0.65">
      <c r="C39" s="85"/>
      <c r="D39" s="85"/>
    </row>
  </sheetData>
  <mergeCells count="3">
    <mergeCell ref="H2:I2"/>
    <mergeCell ref="K2:M2"/>
    <mergeCell ref="F11:G11"/>
  </mergeCells>
  <phoneticPr fontId="2" type="noConversion"/>
  <pageMargins left="0.7" right="0.7" top="0.75" bottom="0.75" header="0.3" footer="0.3"/>
  <pageSetup paperSize="9" scale="80" orientation="landscape" horizontalDpi="4294967293" verticalDpi="4294967293" r:id="rId1"/>
  <drawing r:id="rId2"/>
  <extLst>
    <ext xmlns:mx="http://schemas.microsoft.com/office/mac/excel/2008/main" uri="{64002731-A6B0-56B0-2670-7721B7C09600}">
      <mx:PLV Mode="1" OnePage="0" WScale="10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Q39"/>
  <sheetViews>
    <sheetView tabSelected="1" topLeftCell="A7" zoomScaleNormal="100" zoomScalePageLayoutView="130" workbookViewId="0">
      <selection activeCell="E8" sqref="E8"/>
    </sheetView>
  </sheetViews>
  <sheetFormatPr defaultColWidth="8.86328125" defaultRowHeight="14.15" customHeight="1" x14ac:dyDescent="0.65"/>
  <cols>
    <col min="1" max="1" width="1.26953125" style="59" customWidth="1"/>
    <col min="2" max="2" width="1.7265625" style="59" customWidth="1"/>
    <col min="3" max="3" width="10.86328125" style="59" customWidth="1"/>
    <col min="4" max="4" width="1.86328125" style="59" customWidth="1"/>
    <col min="5" max="5" width="20.7265625" style="59" customWidth="1"/>
    <col min="6" max="6" width="9.54296875" style="62" customWidth="1"/>
    <col min="7" max="7" width="9.86328125" style="59" customWidth="1"/>
    <col min="8" max="8" width="11.7265625" style="62" customWidth="1"/>
    <col min="9" max="26" width="7.40625" style="59" customWidth="1"/>
    <col min="27" max="16384" width="8.86328125" style="59"/>
  </cols>
  <sheetData>
    <row r="1" spans="1:15" s="55" customFormat="1" ht="14.15" customHeight="1" x14ac:dyDescent="0.75">
      <c r="F1" s="56"/>
      <c r="H1" s="57"/>
    </row>
    <row r="2" spans="1:15" s="55" customFormat="1" ht="14.15" customHeight="1" x14ac:dyDescent="0.75">
      <c r="B2" s="94"/>
      <c r="F2" s="56"/>
      <c r="H2" s="372" t="s">
        <v>119</v>
      </c>
      <c r="I2" s="373"/>
      <c r="K2" s="374" t="str" cm="1">
        <f t="array" aca="1" ref="K2" ca="1">MID(CELL("filename",$A$1),SEARCH("]", CELL("filename",$A$1))+1,999)</f>
        <v>2024</v>
      </c>
      <c r="L2" s="374"/>
      <c r="M2" s="374"/>
    </row>
    <row r="3" spans="1:15" s="55" customFormat="1" ht="14.15" customHeight="1" x14ac:dyDescent="0.75">
      <c r="F3" s="56"/>
      <c r="G3" s="58"/>
      <c r="H3" s="57"/>
    </row>
    <row r="4" spans="1:15" s="55" customFormat="1" ht="14.15" customHeight="1" x14ac:dyDescent="0.75">
      <c r="F4" s="56"/>
      <c r="H4" s="57"/>
    </row>
    <row r="6" spans="1:15" ht="14.15" customHeight="1" x14ac:dyDescent="0.7">
      <c r="B6" s="60" t="s">
        <v>5</v>
      </c>
      <c r="C6" s="61"/>
      <c r="D6" s="61"/>
      <c r="E6" s="61" t="str">
        <f>'2024 H1'!E6</f>
        <v>Vreugdenhil Berging</v>
      </c>
      <c r="G6" s="63"/>
      <c r="O6" s="64" t="s">
        <v>4</v>
      </c>
    </row>
    <row r="7" spans="1:15" ht="14.15" customHeight="1" x14ac:dyDescent="0.65">
      <c r="B7" s="61" t="s">
        <v>6</v>
      </c>
      <c r="C7" s="61"/>
      <c r="D7" s="61"/>
      <c r="E7" s="164">
        <f>'2024 H1'!E7</f>
        <v>27183387</v>
      </c>
      <c r="F7" s="97"/>
    </row>
    <row r="8" spans="1:15" ht="14.15" customHeight="1" x14ac:dyDescent="0.65">
      <c r="B8" s="61" t="s">
        <v>11</v>
      </c>
      <c r="C8" s="61"/>
      <c r="D8" s="61"/>
      <c r="E8" s="65" t="s">
        <v>218</v>
      </c>
    </row>
    <row r="10" spans="1:15" ht="14.15" customHeight="1" x14ac:dyDescent="0.65">
      <c r="A10" s="67"/>
      <c r="B10" s="67"/>
      <c r="C10" s="67"/>
      <c r="D10" s="67"/>
      <c r="E10" s="67"/>
      <c r="F10" s="67"/>
      <c r="G10" s="67"/>
      <c r="H10" s="68"/>
    </row>
    <row r="11" spans="1:15" s="71" customFormat="1" ht="14.15" customHeight="1" x14ac:dyDescent="0.65">
      <c r="A11" s="69"/>
      <c r="B11" s="69"/>
      <c r="C11" s="69"/>
      <c r="D11" s="69"/>
      <c r="E11" s="69"/>
      <c r="F11" s="375" t="s">
        <v>120</v>
      </c>
      <c r="G11" s="375"/>
      <c r="H11" s="70" t="s">
        <v>7</v>
      </c>
    </row>
    <row r="12" spans="1:15" s="77" customFormat="1" ht="14.15" customHeight="1" x14ac:dyDescent="0.65">
      <c r="A12" s="72"/>
      <c r="B12" s="72" t="s">
        <v>1</v>
      </c>
      <c r="C12" s="72"/>
      <c r="D12" s="72"/>
      <c r="E12" s="73"/>
      <c r="F12" s="74"/>
      <c r="G12" s="75">
        <f>SUM(F13:F18)</f>
        <v>1253.20643</v>
      </c>
      <c r="H12" s="76">
        <f>G12/F30</f>
        <v>0.95726973912347291</v>
      </c>
    </row>
    <row r="13" spans="1:15" ht="14.15" customHeight="1" x14ac:dyDescent="0.65">
      <c r="A13" s="67"/>
      <c r="B13" s="67"/>
      <c r="C13" s="67" t="s">
        <v>155</v>
      </c>
      <c r="D13" s="67"/>
      <c r="E13" s="67"/>
      <c r="F13" s="78">
        <f>'A Inzicht'!R7+'A Inzicht'!R8+'A Inzicht'!R9+'A Inzicht'!R10+'A Inzicht'!R11+'A Inzicht'!R12+'A Inzicht'!R13</f>
        <v>17.478916000000002</v>
      </c>
      <c r="G13" s="67"/>
      <c r="H13" s="79">
        <f>F13/F30</f>
        <v>1.3351381670999803E-2</v>
      </c>
    </row>
    <row r="14" spans="1:15" ht="14.15" customHeight="1" x14ac:dyDescent="0.65">
      <c r="A14" s="67"/>
      <c r="B14" s="67"/>
      <c r="C14" s="67" t="s">
        <v>216</v>
      </c>
      <c r="D14" s="67"/>
      <c r="E14" s="67"/>
      <c r="F14" s="78">
        <f>'A Inzicht'!R14+'A Inzicht'!R15+'A Inzicht'!R16+'A Inzicht'!R17+'A Inzicht'!R18+'A Inzicht'!R19+'A Inzicht'!R20</f>
        <v>1186.9698819999999</v>
      </c>
      <c r="G14" s="67"/>
      <c r="H14" s="79">
        <f>F14/F30</f>
        <v>0.90667452870438858</v>
      </c>
    </row>
    <row r="15" spans="1:15" ht="14.15" customHeight="1" x14ac:dyDescent="0.65">
      <c r="A15" s="67"/>
      <c r="B15" s="67"/>
      <c r="C15" s="67" t="s">
        <v>48</v>
      </c>
      <c r="D15" s="67"/>
      <c r="E15" s="67"/>
      <c r="F15" s="78">
        <f>'A Inzicht'!R21+'A Inzicht'!R22+'A Inzicht'!R23</f>
        <v>0</v>
      </c>
      <c r="G15" s="67"/>
      <c r="H15" s="79">
        <f>F15/F30</f>
        <v>0</v>
      </c>
    </row>
    <row r="16" spans="1:15" ht="14.15" customHeight="1" x14ac:dyDescent="0.65">
      <c r="A16" s="67"/>
      <c r="B16" s="67"/>
      <c r="C16" s="67" t="s">
        <v>8</v>
      </c>
      <c r="D16" s="67"/>
      <c r="E16" s="67"/>
      <c r="F16" s="80">
        <f>'A Inzicht'!R24+'A Inzicht'!R25+'A Inzicht'!R26+'A Inzicht'!R27+'A Inzicht'!R28+'A Inzicht'!R29+'A Inzicht'!R30</f>
        <v>0</v>
      </c>
      <c r="G16" s="67"/>
      <c r="H16" s="79">
        <f>F16/F30</f>
        <v>0</v>
      </c>
    </row>
    <row r="17" spans="1:17" ht="14.15" customHeight="1" x14ac:dyDescent="0.65">
      <c r="A17" s="67"/>
      <c r="B17" s="67"/>
      <c r="C17" s="67" t="s">
        <v>143</v>
      </c>
      <c r="D17" s="67"/>
      <c r="E17" s="67"/>
      <c r="F17" s="80">
        <f>'A Inzicht'!R31+'A Inzicht'!R32+'A Inzicht'!R33</f>
        <v>48.757632000000001</v>
      </c>
      <c r="G17" s="67"/>
      <c r="H17" s="79">
        <f>F17/F30</f>
        <v>3.7243828748084462E-2</v>
      </c>
    </row>
    <row r="18" spans="1:17" ht="14.15" customHeight="1" x14ac:dyDescent="0.65">
      <c r="A18" s="67"/>
      <c r="B18" s="67"/>
      <c r="C18" s="67"/>
      <c r="D18" s="67"/>
      <c r="E18" s="67"/>
      <c r="F18" s="68"/>
      <c r="G18" s="67"/>
      <c r="H18" s="79"/>
    </row>
    <row r="19" spans="1:17" s="77" customFormat="1" ht="14.15" customHeight="1" x14ac:dyDescent="0.65">
      <c r="A19" s="72"/>
      <c r="B19" s="72" t="s">
        <v>0</v>
      </c>
      <c r="C19" s="72"/>
      <c r="D19" s="72"/>
      <c r="E19" s="73"/>
      <c r="F19" s="74"/>
      <c r="G19" s="75">
        <f>SUM(F20:F23)</f>
        <v>55.940176000000001</v>
      </c>
      <c r="H19" s="76">
        <f>G19/F30</f>
        <v>4.2730260876527072E-2</v>
      </c>
    </row>
    <row r="20" spans="1:17" ht="14.15" customHeight="1" x14ac:dyDescent="0.65">
      <c r="A20" s="67"/>
      <c r="B20" s="67"/>
      <c r="C20" s="67" t="s">
        <v>60</v>
      </c>
      <c r="D20" s="67"/>
      <c r="E20" s="67"/>
      <c r="F20" s="80">
        <f>'A Inzicht'!R36+'A Inzicht'!R37+'A Inzicht'!R38+'A Inzicht'!R39</f>
        <v>55.940176000000001</v>
      </c>
      <c r="G20" s="67"/>
      <c r="H20" s="79">
        <f>F20/F30</f>
        <v>4.2730260876527072E-2</v>
      </c>
    </row>
    <row r="21" spans="1:17" ht="14.15" customHeight="1" x14ac:dyDescent="0.65">
      <c r="A21" s="67"/>
      <c r="B21" s="67"/>
      <c r="C21" s="67" t="s">
        <v>79</v>
      </c>
      <c r="D21" s="67"/>
      <c r="E21" s="67"/>
      <c r="F21" s="80">
        <f>'A Inzicht'!R40+'A Inzicht'!R41+'A Inzicht'!R42</f>
        <v>0</v>
      </c>
      <c r="G21" s="67"/>
      <c r="H21" s="79">
        <f>F21/F30</f>
        <v>0</v>
      </c>
    </row>
    <row r="22" spans="1:17" ht="14.15" customHeight="1" x14ac:dyDescent="0.65">
      <c r="A22" s="67"/>
      <c r="B22" s="67"/>
      <c r="C22" s="67" t="s">
        <v>59</v>
      </c>
      <c r="D22" s="67"/>
      <c r="E22" s="67"/>
      <c r="F22" s="80">
        <f>'A Inzicht'!R43+'A Inzicht'!R44+'A Inzicht'!R45+'A Inzicht'!R46+'A Inzicht'!R47+'A Inzicht'!R48</f>
        <v>0</v>
      </c>
      <c r="G22" s="67"/>
      <c r="H22" s="79">
        <f>F22/F30</f>
        <v>0</v>
      </c>
    </row>
    <row r="23" spans="1:17" ht="14.15" customHeight="1" x14ac:dyDescent="0.65">
      <c r="A23" s="67"/>
      <c r="B23" s="67"/>
      <c r="C23" s="67"/>
      <c r="D23" s="67"/>
      <c r="E23" s="67"/>
      <c r="F23" s="68"/>
      <c r="G23" s="67"/>
      <c r="H23" s="79"/>
    </row>
    <row r="24" spans="1:17" ht="14.15" customHeight="1" x14ac:dyDescent="0.65">
      <c r="A24" s="67"/>
      <c r="B24" s="72" t="s">
        <v>93</v>
      </c>
      <c r="C24" s="67"/>
      <c r="D24" s="67"/>
      <c r="E24" s="67"/>
      <c r="F24" s="68"/>
      <c r="G24" s="75">
        <f>SUM(F25:F29)</f>
        <v>0</v>
      </c>
      <c r="H24" s="76">
        <f>G24/F30</f>
        <v>0</v>
      </c>
    </row>
    <row r="25" spans="1:17" ht="14.15" customHeight="1" x14ac:dyDescent="0.65">
      <c r="A25" s="67"/>
      <c r="B25" s="67"/>
      <c r="C25" s="67" t="s">
        <v>25</v>
      </c>
      <c r="D25" s="67"/>
      <c r="E25" s="67"/>
      <c r="F25" s="80">
        <f>'A Inzicht'!R51+'A Inzicht'!R52+'A Inzicht'!R53+'A Inzicht'!R54+'A Inzicht'!R55+'A Inzicht'!R56+'A Inzicht'!R57+'A Inzicht'!R58+'A Inzicht'!R59+'A Inzicht'!R60+'A Inzicht'!R61</f>
        <v>0</v>
      </c>
      <c r="G25" s="67"/>
      <c r="H25" s="79">
        <f>F25/F30</f>
        <v>0</v>
      </c>
    </row>
    <row r="26" spans="1:17" ht="14.15" customHeight="1" x14ac:dyDescent="0.65">
      <c r="A26" s="67"/>
      <c r="B26" s="67"/>
      <c r="C26" s="67" t="s">
        <v>27</v>
      </c>
      <c r="D26" s="67"/>
      <c r="E26" s="67"/>
      <c r="F26" s="80">
        <f>'A Inzicht'!R62+'A Inzicht'!R63+'A Inzicht'!R64+'A Inzicht'!R65+'A Inzicht'!R67+'A Inzicht'!R68+'A Inzicht'!R69+'A Inzicht'!R70</f>
        <v>0</v>
      </c>
      <c r="G26" s="67"/>
      <c r="H26" s="79">
        <f>F26/F30</f>
        <v>0</v>
      </c>
      <c r="Q26" s="81"/>
    </row>
    <row r="27" spans="1:17" ht="14.15" customHeight="1" x14ac:dyDescent="0.65">
      <c r="A27" s="67"/>
      <c r="B27" s="67"/>
      <c r="C27" s="67" t="s">
        <v>13</v>
      </c>
      <c r="D27" s="67"/>
      <c r="E27" s="67"/>
      <c r="F27" s="80">
        <f>'A Inzicht'!R71+'A Inzicht'!R72+'A Inzicht'!R73</f>
        <v>0</v>
      </c>
      <c r="G27" s="67"/>
      <c r="H27" s="79">
        <f>F27/F30</f>
        <v>0</v>
      </c>
    </row>
    <row r="28" spans="1:17" ht="14.15" customHeight="1" x14ac:dyDescent="0.65">
      <c r="A28" s="67"/>
      <c r="B28" s="67"/>
      <c r="C28" s="67" t="s">
        <v>30</v>
      </c>
      <c r="D28" s="67"/>
      <c r="E28" s="67"/>
      <c r="F28" s="80">
        <f>'A Inzicht'!R74+'A Inzicht'!R75</f>
        <v>0</v>
      </c>
      <c r="G28" s="67"/>
      <c r="H28" s="79">
        <f>F28/F30</f>
        <v>0</v>
      </c>
      <c r="Q28" s="81"/>
    </row>
    <row r="29" spans="1:17" ht="14.15" customHeight="1" x14ac:dyDescent="0.65">
      <c r="A29" s="67"/>
      <c r="B29" s="67"/>
      <c r="C29" s="67"/>
      <c r="D29" s="67"/>
      <c r="E29" s="67"/>
      <c r="F29" s="68"/>
      <c r="G29" s="67"/>
      <c r="H29" s="79"/>
    </row>
    <row r="30" spans="1:17" ht="14.15" customHeight="1" x14ac:dyDescent="0.65">
      <c r="A30" s="67"/>
      <c r="B30" s="67"/>
      <c r="C30" s="67"/>
      <c r="D30" s="67"/>
      <c r="E30" s="73" t="s">
        <v>20</v>
      </c>
      <c r="F30" s="82">
        <f>G12+G19+G24</f>
        <v>1309.146606</v>
      </c>
      <c r="G30" s="72" t="s">
        <v>120</v>
      </c>
      <c r="H30" s="79"/>
    </row>
    <row r="31" spans="1:17" ht="14.15" customHeight="1" x14ac:dyDescent="0.65">
      <c r="A31" s="67"/>
      <c r="B31" s="67"/>
      <c r="C31" s="67"/>
      <c r="D31" s="67"/>
      <c r="E31" s="67"/>
      <c r="F31" s="68"/>
      <c r="G31" s="67"/>
      <c r="H31" s="79"/>
    </row>
    <row r="33" spans="1:8" ht="14.15" customHeight="1" x14ac:dyDescent="0.65">
      <c r="A33" s="59" t="s">
        <v>21</v>
      </c>
      <c r="D33" s="59" t="s">
        <v>135</v>
      </c>
      <c r="F33" s="59"/>
      <c r="G33" s="93">
        <f>G12/Sleutels!G6</f>
        <v>96.400494615384616</v>
      </c>
      <c r="H33" s="66" t="s">
        <v>120</v>
      </c>
    </row>
    <row r="34" spans="1:8" ht="14.15" customHeight="1" x14ac:dyDescent="0.65">
      <c r="D34" s="59" t="s">
        <v>121</v>
      </c>
      <c r="F34" s="59"/>
      <c r="G34" s="93">
        <f>G12/Sleutels!G7</f>
        <v>14.404671609195402</v>
      </c>
      <c r="H34" s="66" t="s">
        <v>120</v>
      </c>
    </row>
    <row r="35" spans="1:8" ht="14.15" customHeight="1" x14ac:dyDescent="0.65">
      <c r="A35" s="59" t="s">
        <v>137</v>
      </c>
    </row>
    <row r="36" spans="1:8" ht="14.15" customHeight="1" x14ac:dyDescent="0.65">
      <c r="D36" s="59" t="s">
        <v>135</v>
      </c>
      <c r="F36" s="59"/>
      <c r="G36" s="93">
        <f>(G19+G24)/Sleutels!G6</f>
        <v>4.3030904615384618</v>
      </c>
      <c r="H36" s="66" t="s">
        <v>120</v>
      </c>
    </row>
    <row r="37" spans="1:8" ht="14.15" customHeight="1" x14ac:dyDescent="0.65">
      <c r="A37" s="84"/>
      <c r="D37" s="59" t="s">
        <v>121</v>
      </c>
      <c r="F37" s="59"/>
      <c r="G37" s="93">
        <f>(G19+G24)/Sleutels!G7</f>
        <v>0.64299052873563223</v>
      </c>
      <c r="H37" s="66" t="s">
        <v>120</v>
      </c>
    </row>
    <row r="38" spans="1:8" ht="14.15" customHeight="1" x14ac:dyDescent="0.65">
      <c r="C38" s="84"/>
      <c r="E38" s="84"/>
      <c r="F38" s="84"/>
      <c r="G38" s="93"/>
      <c r="H38" s="66"/>
    </row>
    <row r="39" spans="1:8" ht="14.15" customHeight="1" x14ac:dyDescent="0.65">
      <c r="C39" s="85"/>
      <c r="D39" s="85"/>
    </row>
  </sheetData>
  <mergeCells count="3">
    <mergeCell ref="H2:I2"/>
    <mergeCell ref="K2:M2"/>
    <mergeCell ref="F11:G11"/>
  </mergeCells>
  <phoneticPr fontId="2" type="noConversion"/>
  <pageMargins left="0.7" right="0.7" top="0.75" bottom="0.75" header="0.3" footer="0.3"/>
  <pageSetup paperSize="9" scale="80" orientation="landscape" horizontalDpi="4294967293" verticalDpi="4294967293" r:id="rId1"/>
  <drawing r:id="rId2"/>
  <extLst>
    <ext xmlns:mx="http://schemas.microsoft.com/office/mac/excel/2008/main" uri="{64002731-A6B0-56B0-2670-7721B7C09600}">
      <mx:PLV Mode="1" OnePage="0" WScale="10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CBEBB-E5DA-9F43-9EC4-07EF01650373}">
  <sheetPr>
    <tabColor rgb="FF92D050"/>
    <pageSetUpPr fitToPage="1"/>
  </sheetPr>
  <dimension ref="A1:Q39"/>
  <sheetViews>
    <sheetView zoomScale="120" zoomScaleNormal="120" zoomScalePageLayoutView="130" workbookViewId="0">
      <selection activeCell="E8" sqref="E8"/>
    </sheetView>
  </sheetViews>
  <sheetFormatPr defaultColWidth="8.86328125" defaultRowHeight="14.15" customHeight="1" x14ac:dyDescent="0.65"/>
  <cols>
    <col min="1" max="1" width="1.26953125" style="59" customWidth="1"/>
    <col min="2" max="2" width="1.7265625" style="59" customWidth="1"/>
    <col min="3" max="3" width="10.86328125" style="59" customWidth="1"/>
    <col min="4" max="4" width="1.86328125" style="59" customWidth="1"/>
    <col min="5" max="5" width="20.7265625" style="59" customWidth="1"/>
    <col min="6" max="6" width="8" style="62" customWidth="1"/>
    <col min="7" max="7" width="8" style="59" customWidth="1"/>
    <col min="8" max="8" width="11.7265625" style="62" customWidth="1"/>
    <col min="9" max="26" width="7.40625" style="59" customWidth="1"/>
    <col min="27" max="16384" width="8.86328125" style="59"/>
  </cols>
  <sheetData>
    <row r="1" spans="1:15" s="55" customFormat="1" ht="14.15" customHeight="1" x14ac:dyDescent="0.75">
      <c r="F1" s="56"/>
      <c r="H1" s="57"/>
    </row>
    <row r="2" spans="1:15" s="55" customFormat="1" ht="14.15" customHeight="1" x14ac:dyDescent="0.75">
      <c r="B2" s="94" t="s">
        <v>24</v>
      </c>
      <c r="F2" s="56"/>
      <c r="H2" s="372" t="s">
        <v>119</v>
      </c>
      <c r="I2" s="373"/>
      <c r="K2" s="99" t="str" cm="1">
        <f t="array" aca="1" ref="K2" ca="1">MID(CELL("filename",$A$1),SEARCH("]", CELL("filename",$A$1))+1,999)</f>
        <v>2024 project</v>
      </c>
      <c r="L2" s="98"/>
      <c r="M2" s="98"/>
    </row>
    <row r="3" spans="1:15" s="55" customFormat="1" ht="14.15" customHeight="1" x14ac:dyDescent="0.75">
      <c r="F3" s="56"/>
      <c r="G3" s="58"/>
      <c r="H3" s="57"/>
      <c r="K3" s="165" t="s">
        <v>163</v>
      </c>
    </row>
    <row r="4" spans="1:15" s="55" customFormat="1" ht="14.15" customHeight="1" x14ac:dyDescent="0.75">
      <c r="F4" s="56"/>
      <c r="H4" s="57"/>
    </row>
    <row r="6" spans="1:15" ht="14.15" customHeight="1" x14ac:dyDescent="0.7">
      <c r="B6" s="60" t="s">
        <v>5</v>
      </c>
      <c r="C6" s="61"/>
      <c r="D6" s="61"/>
      <c r="E6" s="61" t="str">
        <f>'2024'!E6</f>
        <v>Vreugdenhil Berging</v>
      </c>
      <c r="G6" s="63"/>
      <c r="O6" s="64" t="s">
        <v>4</v>
      </c>
    </row>
    <row r="7" spans="1:15" ht="14.15" customHeight="1" x14ac:dyDescent="0.65">
      <c r="B7" s="61" t="s">
        <v>6</v>
      </c>
      <c r="C7" s="61"/>
      <c r="D7" s="61"/>
      <c r="E7" s="164">
        <f>'2024 H1'!E7</f>
        <v>27183387</v>
      </c>
      <c r="F7" s="66"/>
    </row>
    <row r="8" spans="1:15" ht="14.15" customHeight="1" x14ac:dyDescent="0.65">
      <c r="B8" s="61" t="s">
        <v>11</v>
      </c>
      <c r="C8" s="61"/>
      <c r="D8" s="61"/>
      <c r="E8" s="65" t="s">
        <v>165</v>
      </c>
    </row>
    <row r="10" spans="1:15" ht="14.15" customHeight="1" x14ac:dyDescent="0.65">
      <c r="A10" s="67"/>
      <c r="B10" s="67"/>
      <c r="C10" s="67"/>
      <c r="D10" s="67"/>
      <c r="E10" s="67"/>
      <c r="F10" s="67"/>
      <c r="G10" s="67"/>
      <c r="H10" s="68"/>
    </row>
    <row r="11" spans="1:15" s="71" customFormat="1" ht="14.15" customHeight="1" x14ac:dyDescent="0.65">
      <c r="A11" s="69"/>
      <c r="B11" s="69"/>
      <c r="C11" s="69"/>
      <c r="D11" s="69"/>
      <c r="E11" s="69"/>
      <c r="F11" s="375" t="s">
        <v>120</v>
      </c>
      <c r="G11" s="375"/>
      <c r="H11" s="70" t="s">
        <v>7</v>
      </c>
    </row>
    <row r="12" spans="1:15" s="77" customFormat="1" ht="14.15" customHeight="1" x14ac:dyDescent="0.65">
      <c r="A12" s="72"/>
      <c r="B12" s="72" t="s">
        <v>1</v>
      </c>
      <c r="C12" s="72"/>
      <c r="D12" s="72"/>
      <c r="E12" s="73"/>
      <c r="F12" s="74"/>
      <c r="G12" s="75">
        <f>SUM(F13:F18)</f>
        <v>19.280098923076917</v>
      </c>
      <c r="H12" s="76">
        <f>G12/F30</f>
        <v>0.95726973912347291</v>
      </c>
    </row>
    <row r="13" spans="1:15" ht="14.15" customHeight="1" x14ac:dyDescent="0.65">
      <c r="A13" s="67"/>
      <c r="B13" s="67"/>
      <c r="C13" s="67" t="s">
        <v>155</v>
      </c>
      <c r="D13" s="67"/>
      <c r="E13" s="67"/>
      <c r="F13" s="78">
        <f>Sleutels!G17*('A Inzicht'!R7+'A Inzicht'!R8+'A Inzicht'!R9+'A Inzicht'!R10+'A Inzicht'!R11+'A Inzicht'!R12+'A Inzicht'!R13)</f>
        <v>0.26890639999999999</v>
      </c>
      <c r="G13" s="67"/>
      <c r="H13" s="79">
        <f>F13/F30</f>
        <v>1.3351381670999805E-2</v>
      </c>
    </row>
    <row r="14" spans="1:15" ht="14.15" customHeight="1" x14ac:dyDescent="0.65">
      <c r="A14" s="67"/>
      <c r="B14" s="67"/>
      <c r="C14" s="67" t="s">
        <v>154</v>
      </c>
      <c r="D14" s="67"/>
      <c r="E14" s="67"/>
      <c r="F14" s="78">
        <f>Sleutels!G17*('A Inzicht'!R14+'A Inzicht'!R15+'A Inzicht'!R16+'A Inzicht'!R17+'A Inzicht'!R18+'A Inzicht'!R19+'A Inzicht'!R20)</f>
        <v>18.261075107692303</v>
      </c>
      <c r="G14" s="67"/>
      <c r="H14" s="79">
        <f>F14/F30</f>
        <v>0.90667452870438869</v>
      </c>
    </row>
    <row r="15" spans="1:15" ht="14.15" customHeight="1" x14ac:dyDescent="0.65">
      <c r="A15" s="67"/>
      <c r="B15" s="67"/>
      <c r="C15" s="67" t="s">
        <v>48</v>
      </c>
      <c r="D15" s="67"/>
      <c r="E15" s="67"/>
      <c r="F15" s="78">
        <f>Sleutels!G17*('A Inzicht'!R21+'A Inzicht'!R22+'A Inzicht'!R23)</f>
        <v>0</v>
      </c>
      <c r="G15" s="67"/>
      <c r="H15" s="79">
        <f>F15/F30</f>
        <v>0</v>
      </c>
    </row>
    <row r="16" spans="1:15" ht="14.15" customHeight="1" x14ac:dyDescent="0.65">
      <c r="A16" s="67"/>
      <c r="B16" s="67"/>
      <c r="C16" s="67" t="s">
        <v>8</v>
      </c>
      <c r="D16" s="67"/>
      <c r="E16" s="67"/>
      <c r="F16" s="80">
        <f>Sleutels!G17*('A Inzicht'!R24+'A Inzicht'!R25+'A Inzicht'!R26+'A Inzicht'!R27+'A Inzicht'!R28+'A Inzicht'!R29+'A Inzicht'!R30)</f>
        <v>0</v>
      </c>
      <c r="G16" s="67"/>
      <c r="H16" s="79">
        <f>F16/F30</f>
        <v>0</v>
      </c>
    </row>
    <row r="17" spans="1:17" ht="14.15" customHeight="1" x14ac:dyDescent="0.65">
      <c r="A17" s="67"/>
      <c r="B17" s="67"/>
      <c r="C17" s="67" t="s">
        <v>143</v>
      </c>
      <c r="D17" s="67"/>
      <c r="E17" s="67"/>
      <c r="F17" s="80">
        <f>Sleutels!G17*('A Inzicht'!R31+'A Inzicht'!R32+'A Inzicht'!R33)</f>
        <v>0.7501174153846154</v>
      </c>
      <c r="G17" s="67"/>
      <c r="H17" s="79">
        <f>F17/F30</f>
        <v>3.7243828748084469E-2</v>
      </c>
    </row>
    <row r="18" spans="1:17" ht="14.15" customHeight="1" x14ac:dyDescent="0.65">
      <c r="A18" s="67"/>
      <c r="B18" s="67"/>
      <c r="C18" s="67"/>
      <c r="D18" s="67"/>
      <c r="E18" s="67"/>
      <c r="F18" s="68"/>
      <c r="G18" s="67"/>
      <c r="H18" s="79"/>
    </row>
    <row r="19" spans="1:17" s="77" customFormat="1" ht="14.15" customHeight="1" x14ac:dyDescent="0.65">
      <c r="A19" s="72"/>
      <c r="B19" s="72" t="s">
        <v>0</v>
      </c>
      <c r="C19" s="72"/>
      <c r="D19" s="72"/>
      <c r="E19" s="73"/>
      <c r="F19" s="74"/>
      <c r="G19" s="75">
        <f>SUM(F20:F23)</f>
        <v>0.86061809230769226</v>
      </c>
      <c r="H19" s="76">
        <f>G19/F30</f>
        <v>4.2730260876527079E-2</v>
      </c>
    </row>
    <row r="20" spans="1:17" ht="14.15" customHeight="1" x14ac:dyDescent="0.65">
      <c r="A20" s="67"/>
      <c r="B20" s="67"/>
      <c r="C20" s="67" t="s">
        <v>60</v>
      </c>
      <c r="D20" s="67"/>
      <c r="E20" s="67"/>
      <c r="F20" s="80">
        <f>Sleutels!G17*('A Inzicht'!R36+'A Inzicht'!R37+'A Inzicht'!R38+'A Inzicht'!R39)</f>
        <v>0.86061809230769226</v>
      </c>
      <c r="G20" s="67"/>
      <c r="H20" s="79">
        <f>F20/F30</f>
        <v>4.2730260876527079E-2</v>
      </c>
    </row>
    <row r="21" spans="1:17" ht="14.15" customHeight="1" x14ac:dyDescent="0.65">
      <c r="A21" s="67"/>
      <c r="B21" s="67"/>
      <c r="C21" s="67" t="s">
        <v>79</v>
      </c>
      <c r="D21" s="67"/>
      <c r="E21" s="67"/>
      <c r="F21" s="80">
        <f>Sleutels!G17*('A Inzicht'!R40+'A Inzicht'!R41+'A Inzicht'!R42)</f>
        <v>0</v>
      </c>
      <c r="G21" s="67"/>
      <c r="H21" s="79">
        <f>F21/F30</f>
        <v>0</v>
      </c>
    </row>
    <row r="22" spans="1:17" ht="14.15" customHeight="1" x14ac:dyDescent="0.65">
      <c r="A22" s="67"/>
      <c r="B22" s="67"/>
      <c r="C22" s="67" t="s">
        <v>59</v>
      </c>
      <c r="D22" s="67"/>
      <c r="E22" s="67"/>
      <c r="F22" s="80">
        <f>Sleutels!G17*('A Inzicht'!R43+'A Inzicht'!R44+'A Inzicht'!R45+'A Inzicht'!R46+'A Inzicht'!R47+'A Inzicht'!R48)</f>
        <v>0</v>
      </c>
      <c r="G22" s="67"/>
      <c r="H22" s="79">
        <f>F22/F30</f>
        <v>0</v>
      </c>
    </row>
    <row r="23" spans="1:17" ht="14.15" customHeight="1" x14ac:dyDescent="0.65">
      <c r="A23" s="67"/>
      <c r="B23" s="67"/>
      <c r="C23" s="67"/>
      <c r="D23" s="67"/>
      <c r="E23" s="67"/>
      <c r="F23" s="68"/>
      <c r="G23" s="67"/>
      <c r="H23" s="79"/>
    </row>
    <row r="24" spans="1:17" ht="14.15" customHeight="1" x14ac:dyDescent="0.65">
      <c r="A24" s="67"/>
      <c r="B24" s="72" t="s">
        <v>93</v>
      </c>
      <c r="C24" s="67"/>
      <c r="D24" s="67"/>
      <c r="E24" s="67"/>
      <c r="F24" s="68"/>
      <c r="G24" s="75">
        <f>SUM(F25:F29)</f>
        <v>0</v>
      </c>
      <c r="H24" s="76">
        <f>G24/F30</f>
        <v>0</v>
      </c>
    </row>
    <row r="25" spans="1:17" ht="14.15" customHeight="1" x14ac:dyDescent="0.65">
      <c r="A25" s="67"/>
      <c r="B25" s="67"/>
      <c r="C25" s="67" t="s">
        <v>25</v>
      </c>
      <c r="D25" s="67"/>
      <c r="E25" s="67"/>
      <c r="F25" s="80">
        <f>Sleutels!G17*('A Inzicht'!R51+'A Inzicht'!R52+'A Inzicht'!R53+'A Inzicht'!R54+'A Inzicht'!R55+'A Inzicht'!R56+'A Inzicht'!R57+'A Inzicht'!R58+'A Inzicht'!R59+'A Inzicht'!R60+'A Inzicht'!R61)</f>
        <v>0</v>
      </c>
      <c r="G25" s="67"/>
      <c r="H25" s="79">
        <f>F25/F30</f>
        <v>0</v>
      </c>
    </row>
    <row r="26" spans="1:17" ht="14.15" customHeight="1" x14ac:dyDescent="0.65">
      <c r="A26" s="67"/>
      <c r="B26" s="67"/>
      <c r="C26" s="67" t="s">
        <v>27</v>
      </c>
      <c r="D26" s="67"/>
      <c r="E26" s="67"/>
      <c r="F26" s="80">
        <f>Sleutels!G17*('A Inzicht'!R62+'A Inzicht'!R63+'A Inzicht'!R64+'A Inzicht'!R65+'A Inzicht'!R67+'A Inzicht'!R68+'A Inzicht'!R69+'A Inzicht'!R70)</f>
        <v>0</v>
      </c>
      <c r="G26" s="67"/>
      <c r="H26" s="79">
        <f>F26/F30</f>
        <v>0</v>
      </c>
      <c r="Q26" s="81"/>
    </row>
    <row r="27" spans="1:17" ht="14.15" customHeight="1" x14ac:dyDescent="0.65">
      <c r="A27" s="67"/>
      <c r="B27" s="67"/>
      <c r="C27" s="67" t="s">
        <v>13</v>
      </c>
      <c r="D27" s="67"/>
      <c r="E27" s="67"/>
      <c r="F27" s="80">
        <f>Sleutels!G17*('A Inzicht'!R71+'A Inzicht'!R72+'A Inzicht'!R73)</f>
        <v>0</v>
      </c>
      <c r="G27" s="67"/>
      <c r="H27" s="79">
        <f>F27/F30</f>
        <v>0</v>
      </c>
    </row>
    <row r="28" spans="1:17" ht="14.15" customHeight="1" x14ac:dyDescent="0.65">
      <c r="A28" s="67"/>
      <c r="B28" s="67"/>
      <c r="C28" s="67" t="s">
        <v>30</v>
      </c>
      <c r="D28" s="67"/>
      <c r="E28" s="67"/>
      <c r="F28" s="80">
        <f>Sleutels!G17*('A Inzicht'!R74+'A Inzicht'!R75)</f>
        <v>0</v>
      </c>
      <c r="G28" s="67"/>
      <c r="H28" s="79">
        <f>F28/F30</f>
        <v>0</v>
      </c>
      <c r="Q28" s="81"/>
    </row>
    <row r="29" spans="1:17" ht="14.15" customHeight="1" x14ac:dyDescent="0.65">
      <c r="A29" s="67"/>
      <c r="B29" s="67"/>
      <c r="C29" s="67"/>
      <c r="D29" s="67"/>
      <c r="E29" s="67"/>
      <c r="F29" s="68"/>
      <c r="G29" s="67"/>
      <c r="H29" s="79"/>
    </row>
    <row r="30" spans="1:17" ht="14.15" customHeight="1" x14ac:dyDescent="0.65">
      <c r="A30" s="67"/>
      <c r="B30" s="67"/>
      <c r="C30" s="67"/>
      <c r="D30" s="67"/>
      <c r="E30" s="73" t="s">
        <v>20</v>
      </c>
      <c r="F30" s="82">
        <f>G12+G19+G24</f>
        <v>20.14071701538461</v>
      </c>
      <c r="G30" s="72" t="s">
        <v>120</v>
      </c>
      <c r="H30" s="79"/>
    </row>
    <row r="31" spans="1:17" ht="14.15" customHeight="1" x14ac:dyDescent="0.65">
      <c r="A31" s="67"/>
      <c r="B31" s="67"/>
      <c r="C31" s="67"/>
      <c r="D31" s="67"/>
      <c r="E31" s="67"/>
      <c r="F31" s="68"/>
      <c r="G31" s="67"/>
      <c r="H31" s="79"/>
    </row>
    <row r="33" spans="1:8" ht="14.15" customHeight="1" x14ac:dyDescent="0.65">
      <c r="A33" s="59" t="s">
        <v>21</v>
      </c>
      <c r="D33" s="59" t="s">
        <v>135</v>
      </c>
      <c r="F33" s="59"/>
      <c r="G33" s="93">
        <f>G12/Sleutels!G6</f>
        <v>1.4830845325443782</v>
      </c>
      <c r="H33" s="66" t="s">
        <v>120</v>
      </c>
    </row>
    <row r="34" spans="1:8" ht="14.15" customHeight="1" x14ac:dyDescent="0.65">
      <c r="D34" s="59" t="s">
        <v>121</v>
      </c>
      <c r="F34" s="59"/>
      <c r="G34" s="93">
        <f>G12/Sleutels!G7</f>
        <v>0.22161033244915995</v>
      </c>
      <c r="H34" s="66" t="s">
        <v>120</v>
      </c>
    </row>
    <row r="35" spans="1:8" ht="14.15" customHeight="1" x14ac:dyDescent="0.65">
      <c r="A35" s="59" t="s">
        <v>137</v>
      </c>
    </row>
    <row r="36" spans="1:8" ht="14.15" customHeight="1" x14ac:dyDescent="0.65">
      <c r="D36" s="59" t="s">
        <v>135</v>
      </c>
      <c r="F36" s="59"/>
      <c r="G36" s="93">
        <f>(G19+G24)/Sleutels!G6</f>
        <v>6.6201391715976332E-2</v>
      </c>
      <c r="H36" s="66" t="s">
        <v>120</v>
      </c>
    </row>
    <row r="37" spans="1:8" ht="14.15" customHeight="1" x14ac:dyDescent="0.65">
      <c r="A37" s="84"/>
      <c r="D37" s="59" t="s">
        <v>121</v>
      </c>
      <c r="F37" s="59"/>
      <c r="G37" s="93">
        <f>(G19+G24)/Sleutels!G7</f>
        <v>9.8921619805481861E-3</v>
      </c>
      <c r="H37" s="66" t="s">
        <v>120</v>
      </c>
    </row>
    <row r="38" spans="1:8" ht="14.15" customHeight="1" x14ac:dyDescent="0.65">
      <c r="C38" s="84"/>
      <c r="E38" s="84"/>
      <c r="F38" s="84"/>
      <c r="G38" s="93"/>
      <c r="H38" s="66"/>
    </row>
    <row r="39" spans="1:8" ht="14.15" customHeight="1" x14ac:dyDescent="0.65">
      <c r="C39" s="85"/>
      <c r="D39" s="85"/>
    </row>
  </sheetData>
  <mergeCells count="2">
    <mergeCell ref="H2:I2"/>
    <mergeCell ref="F11:G11"/>
  </mergeCells>
  <pageMargins left="0.7" right="0.7" top="0.75" bottom="0.75" header="0.3" footer="0.3"/>
  <pageSetup paperSize="9" scale="80" orientation="landscape" horizontalDpi="4294967293" vertic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O38"/>
  <sheetViews>
    <sheetView topLeftCell="A13" zoomScale="120" zoomScaleNormal="120" zoomScalePageLayoutView="130" workbookViewId="0">
      <selection activeCell="H19" sqref="H19"/>
    </sheetView>
  </sheetViews>
  <sheetFormatPr defaultColWidth="8.86328125" defaultRowHeight="14.15" customHeight="1" x14ac:dyDescent="0.65"/>
  <cols>
    <col min="1" max="1" width="1.26953125" style="59" customWidth="1"/>
    <col min="2" max="2" width="1.7265625" style="59" customWidth="1"/>
    <col min="3" max="3" width="10.86328125" style="59" customWidth="1"/>
    <col min="4" max="4" width="1.86328125" style="59" customWidth="1"/>
    <col min="5" max="5" width="20.7265625" style="59" customWidth="1"/>
    <col min="6" max="6" width="9.86328125" style="62" customWidth="1"/>
    <col min="7" max="7" width="10" style="59" customWidth="1"/>
    <col min="8" max="8" width="11.7265625" style="62" customWidth="1"/>
    <col min="9" max="26" width="7.40625" style="59" customWidth="1"/>
    <col min="27" max="16384" width="8.86328125" style="59"/>
  </cols>
  <sheetData>
    <row r="1" spans="1:15" s="55" customFormat="1" ht="14.15" customHeight="1" x14ac:dyDescent="0.75">
      <c r="F1" s="56"/>
      <c r="H1" s="57"/>
    </row>
    <row r="2" spans="1:15" s="55" customFormat="1" ht="14.15" customHeight="1" x14ac:dyDescent="0.75">
      <c r="B2" s="94" t="s">
        <v>24</v>
      </c>
      <c r="F2" s="56"/>
      <c r="H2" s="372" t="s">
        <v>119</v>
      </c>
      <c r="I2" s="372"/>
      <c r="K2" s="50" t="str" cm="1">
        <f t="array" aca="1" ref="K2" ca="1">MID(CELL("filename",$A$1),SEARCH("]", CELL("filename",$A$1))+1,999)</f>
        <v>2024 verdeling</v>
      </c>
      <c r="L2" s="50"/>
      <c r="M2" s="50" t="s">
        <v>167</v>
      </c>
    </row>
    <row r="3" spans="1:15" s="55" customFormat="1" ht="14.15" customHeight="1" x14ac:dyDescent="0.75">
      <c r="F3" s="56"/>
      <c r="G3" s="58"/>
      <c r="H3" s="57"/>
      <c r="J3" s="108" t="s">
        <v>166</v>
      </c>
    </row>
    <row r="4" spans="1:15" s="55" customFormat="1" ht="14.15" customHeight="1" x14ac:dyDescent="0.75">
      <c r="F4" s="56"/>
      <c r="H4" s="57"/>
      <c r="J4" s="108" t="s">
        <v>108</v>
      </c>
    </row>
    <row r="6" spans="1:15" ht="14.15" customHeight="1" x14ac:dyDescent="0.7">
      <c r="B6" s="60" t="s">
        <v>5</v>
      </c>
      <c r="C6" s="61"/>
      <c r="D6" s="61"/>
      <c r="E6" s="61" t="str">
        <f>'2024 project'!E6</f>
        <v>Vreugdenhil Berging</v>
      </c>
      <c r="G6" s="63"/>
      <c r="O6" s="64" t="s">
        <v>4</v>
      </c>
    </row>
    <row r="7" spans="1:15" ht="14.15" customHeight="1" x14ac:dyDescent="0.65">
      <c r="B7" s="61" t="s">
        <v>6</v>
      </c>
      <c r="C7" s="61"/>
      <c r="D7" s="61"/>
      <c r="E7" s="164">
        <f>'2024 H1'!E7</f>
        <v>27183387</v>
      </c>
      <c r="F7" s="66"/>
    </row>
    <row r="8" spans="1:15" ht="14.15" customHeight="1" x14ac:dyDescent="0.65">
      <c r="B8" s="61" t="s">
        <v>11</v>
      </c>
      <c r="C8" s="61"/>
      <c r="D8" s="61"/>
      <c r="E8" s="65" t="s">
        <v>165</v>
      </c>
    </row>
    <row r="10" spans="1:15" ht="14.15" customHeight="1" x14ac:dyDescent="0.65">
      <c r="A10" s="67"/>
      <c r="B10" s="67"/>
      <c r="C10" s="67"/>
      <c r="D10" s="67"/>
      <c r="E10" s="67"/>
      <c r="F10" s="67"/>
      <c r="G10" s="67"/>
      <c r="H10" s="68"/>
    </row>
    <row r="11" spans="1:15" s="71" customFormat="1" ht="14.15" customHeight="1" x14ac:dyDescent="0.65">
      <c r="A11" s="69"/>
      <c r="B11" s="69"/>
      <c r="C11" s="69"/>
      <c r="D11" s="69"/>
      <c r="E11" s="69"/>
      <c r="F11" s="375" t="s">
        <v>120</v>
      </c>
      <c r="G11" s="375"/>
      <c r="H11" s="70" t="s">
        <v>7</v>
      </c>
    </row>
    <row r="12" spans="1:15" s="77" customFormat="1" ht="14.15" customHeight="1" x14ac:dyDescent="0.65">
      <c r="A12" s="72"/>
      <c r="B12" s="72" t="s">
        <v>62</v>
      </c>
      <c r="C12" s="72"/>
      <c r="D12" s="72"/>
      <c r="E12" s="73"/>
      <c r="F12" s="74"/>
      <c r="G12" s="75">
        <f>SUM(F13:F17)</f>
        <v>97.723810399999991</v>
      </c>
      <c r="H12" s="76">
        <f>G12/F29</f>
        <v>7.464695699635035E-2</v>
      </c>
    </row>
    <row r="13" spans="1:15" ht="14.15" customHeight="1" x14ac:dyDescent="0.65">
      <c r="A13" s="67"/>
      <c r="B13" s="67"/>
      <c r="C13" s="67" t="s">
        <v>155</v>
      </c>
      <c r="D13" s="67"/>
      <c r="E13" s="67"/>
      <c r="F13" s="78">
        <f>Sleutels!G31*('A Inzicht'!R7+'A Inzicht'!R8+'A Inzicht'!R9+'A Inzicht'!R10+'A Inzicht'!R11+'A Inzicht'!R12+'A Inzicht'!R13+'A Inzicht'!R40+'A Inzicht'!R41+'A Inzicht'!R42+'A Inzicht'!R51+'A Inzicht'!R52+'A Inzicht'!R53+'A Inzicht'!R54+'A Inzicht'!R55+'A Inzicht'!R56+'A Inzicht'!R57+'A Inzicht'!R58+'A Inzicht'!R59+'A Inzicht'!R60+'A Inzicht'!R61)</f>
        <v>3.4957832000000004</v>
      </c>
      <c r="G13" s="67"/>
      <c r="H13" s="79">
        <f>F13/F29</f>
        <v>2.6702763341999612E-3</v>
      </c>
    </row>
    <row r="14" spans="1:15" ht="14.15" customHeight="1" x14ac:dyDescent="0.65">
      <c r="A14" s="67"/>
      <c r="B14" s="67"/>
      <c r="C14" s="67" t="s">
        <v>8</v>
      </c>
      <c r="D14" s="67"/>
      <c r="E14" s="67"/>
      <c r="F14" s="80">
        <f>Sleutels!G33*('A Inzicht'!R24+'A Inzicht'!R25+'A Inzicht'!R26+'A Inzicht'!R27+'A Inzicht'!R28+'A Inzicht'!R29+'A Inzicht'!R30)</f>
        <v>0</v>
      </c>
      <c r="G14" s="67"/>
      <c r="H14" s="79">
        <f>F14/F29</f>
        <v>0</v>
      </c>
    </row>
    <row r="15" spans="1:15" ht="14.15" customHeight="1" x14ac:dyDescent="0.65">
      <c r="A15" s="67"/>
      <c r="B15" s="67"/>
      <c r="C15" s="67" t="s">
        <v>143</v>
      </c>
      <c r="D15" s="67"/>
      <c r="E15" s="67"/>
      <c r="F15" s="80">
        <f>Sleutels!G34*('A Inzicht'!R31+'A Inzicht'!R32+'A Inzicht'!R33+'A Inzicht'!R43+'A Inzicht'!R44+'A Inzicht'!R45+'A Inzicht'!R46+'A Inzicht'!R47+'A Inzicht'!R48)</f>
        <v>43.881868799999999</v>
      </c>
      <c r="G15" s="67"/>
      <c r="H15" s="79">
        <f>F15/F29</f>
        <v>3.3519445873276016E-2</v>
      </c>
    </row>
    <row r="16" spans="1:15" ht="14.15" customHeight="1" x14ac:dyDescent="0.65">
      <c r="A16" s="67"/>
      <c r="B16" s="67"/>
      <c r="C16" s="67" t="s">
        <v>60</v>
      </c>
      <c r="D16" s="67"/>
      <c r="E16" s="67"/>
      <c r="F16" s="80">
        <f>Sleutels!G35*('A Inzicht'!R36+'A Inzicht'!R37+'A Inzicht'!R38+'A Inzicht'!R39)</f>
        <v>50.3461584</v>
      </c>
      <c r="G16" s="67"/>
      <c r="H16" s="79">
        <f>F16/F29</f>
        <v>3.8457234788874368E-2</v>
      </c>
    </row>
    <row r="17" spans="1:8" ht="14.15" customHeight="1" x14ac:dyDescent="0.65">
      <c r="A17" s="67"/>
      <c r="B17" s="67"/>
      <c r="C17" s="67" t="s">
        <v>27</v>
      </c>
      <c r="D17" s="67"/>
      <c r="E17" s="67"/>
      <c r="F17" s="78">
        <f>Sleutels!G36*('A Inzicht'!R62+'A Inzicht'!R63+'A Inzicht'!R64+'A Inzicht'!R65+'A Inzicht'!R66+'A Inzicht'!R67+'A Inzicht'!R68+'A Inzicht'!R69+'A Inzicht'!R70)</f>
        <v>0</v>
      </c>
      <c r="G17" s="67"/>
      <c r="H17" s="79">
        <f>F17/F29</f>
        <v>0</v>
      </c>
    </row>
    <row r="18" spans="1:8" ht="14.15" customHeight="1" x14ac:dyDescent="0.65">
      <c r="A18" s="67"/>
      <c r="B18" s="67"/>
      <c r="C18" s="67"/>
      <c r="D18" s="67"/>
      <c r="E18" s="67"/>
      <c r="F18" s="68"/>
      <c r="G18" s="67"/>
      <c r="H18" s="79"/>
    </row>
    <row r="19" spans="1:8" ht="14.15" customHeight="1" x14ac:dyDescent="0.65">
      <c r="A19" s="72"/>
      <c r="B19" s="72" t="s">
        <v>63</v>
      </c>
      <c r="C19" s="72"/>
      <c r="D19" s="72"/>
      <c r="E19" s="73"/>
      <c r="F19" s="74"/>
      <c r="G19" s="75">
        <f>SUM(F20:F27)</f>
        <v>1211.4227955999997</v>
      </c>
      <c r="H19" s="76">
        <f>G19/F29</f>
        <v>0.92535304300364962</v>
      </c>
    </row>
    <row r="20" spans="1:8" s="77" customFormat="1" ht="14.15" customHeight="1" x14ac:dyDescent="0.65">
      <c r="A20" s="67"/>
      <c r="B20" s="67"/>
      <c r="C20" s="67" t="s">
        <v>155</v>
      </c>
      <c r="D20" s="67"/>
      <c r="E20" s="67"/>
      <c r="F20" s="78">
        <f>Sleutels!H31*('A Inzicht'!R7+'A Inzicht'!R8+'A Inzicht'!R9+'A Inzicht'!R10+'A Inzicht'!R11+'A Inzicht'!R12+'A Inzicht'!R13+'A Inzicht'!R40+'A Inzicht'!R41+'A Inzicht'!R42+'A Inzicht'!R51+'A Inzicht'!R52+'A Inzicht'!R53+'A Inzicht'!R54+'A Inzicht'!R55+'A Inzicht'!R56+'A Inzicht'!R57+'A Inzicht'!R58+'A Inzicht'!R59+'A Inzicht'!R60+'A Inzicht'!R61)</f>
        <v>13.983132800000002</v>
      </c>
      <c r="G20" s="67"/>
      <c r="H20" s="79">
        <f>F20/F29</f>
        <v>1.0681105336799845E-2</v>
      </c>
    </row>
    <row r="21" spans="1:8" ht="14.15" customHeight="1" x14ac:dyDescent="0.65">
      <c r="A21" s="67"/>
      <c r="B21" s="67"/>
      <c r="C21" s="67" t="s">
        <v>154</v>
      </c>
      <c r="D21" s="67"/>
      <c r="E21" s="67"/>
      <c r="F21" s="78">
        <f>'A Inzicht'!R14+'A Inzicht'!R15+'A Inzicht'!R16+'A Inzicht'!R17+'A Inzicht'!R18+'A Inzicht'!R19+'A Inzicht'!R20</f>
        <v>1186.9698819999999</v>
      </c>
      <c r="G21" s="67"/>
      <c r="H21" s="79">
        <f>F21/F29</f>
        <v>0.90667452870438869</v>
      </c>
    </row>
    <row r="22" spans="1:8" ht="14.15" customHeight="1" x14ac:dyDescent="0.65">
      <c r="A22" s="67"/>
      <c r="B22" s="67"/>
      <c r="C22" s="67" t="s">
        <v>48</v>
      </c>
      <c r="D22" s="67"/>
      <c r="E22" s="67"/>
      <c r="F22" s="78">
        <f>'A Inzicht'!R21+'A Inzicht'!R22+'A Inzicht'!R23</f>
        <v>0</v>
      </c>
      <c r="G22" s="67"/>
      <c r="H22" s="79">
        <f>F22/F29</f>
        <v>0</v>
      </c>
    </row>
    <row r="23" spans="1:8" ht="14.15" customHeight="1" x14ac:dyDescent="0.65">
      <c r="A23" s="67"/>
      <c r="B23" s="67"/>
      <c r="C23" s="67" t="s">
        <v>8</v>
      </c>
      <c r="D23" s="67"/>
      <c r="E23" s="67"/>
      <c r="F23" s="80">
        <f>Sleutels!H33*('A Inzicht'!R24+'A Inzicht'!R25+'A Inzicht'!R26+'A Inzicht'!R27+'A Inzicht'!R28+'A Inzicht'!R29+'A Inzicht'!R30)</f>
        <v>0</v>
      </c>
      <c r="G23" s="67"/>
      <c r="H23" s="79">
        <f>F23/F29</f>
        <v>0</v>
      </c>
    </row>
    <row r="24" spans="1:8" ht="14.15" customHeight="1" x14ac:dyDescent="0.65">
      <c r="A24" s="67"/>
      <c r="B24" s="67"/>
      <c r="C24" s="67" t="s">
        <v>143</v>
      </c>
      <c r="D24" s="67"/>
      <c r="E24" s="67"/>
      <c r="F24" s="80">
        <f>Sleutels!H34*('A Inzicht'!R31+'A Inzicht'!R32+'A Inzicht'!R33+'A Inzicht'!R43+'A Inzicht'!R44+'A Inzicht'!R45+'A Inzicht'!R46+'A Inzicht'!R47+'A Inzicht'!R48)</f>
        <v>4.8757632000000006</v>
      </c>
      <c r="G24" s="67"/>
      <c r="H24" s="79">
        <f>F24/F29</f>
        <v>3.7243828748084471E-3</v>
      </c>
    </row>
    <row r="25" spans="1:8" ht="14.15" customHeight="1" x14ac:dyDescent="0.65">
      <c r="A25" s="67"/>
      <c r="B25" s="67"/>
      <c r="C25" s="67" t="s">
        <v>60</v>
      </c>
      <c r="D25" s="67"/>
      <c r="E25" s="67"/>
      <c r="F25" s="80">
        <f>Sleutels!H35*('A Inzicht'!R36+'A Inzicht'!R37+'A Inzicht'!R38+'A Inzicht'!R39)</f>
        <v>5.5940176000000008</v>
      </c>
      <c r="G25" s="67"/>
      <c r="H25" s="79">
        <f>F25/F29</f>
        <v>4.2730260876527081E-3</v>
      </c>
    </row>
    <row r="26" spans="1:8" ht="14.15" customHeight="1" x14ac:dyDescent="0.65">
      <c r="A26" s="67"/>
      <c r="B26" s="67"/>
      <c r="C26" s="67" t="s">
        <v>27</v>
      </c>
      <c r="D26" s="67"/>
      <c r="E26" s="67"/>
      <c r="F26" s="78">
        <f>Sleutels!H36*('A Inzicht'!R62+'A Inzicht'!R63+'A Inzicht'!R64+'A Inzicht'!R65+'A Inzicht'!R66+'A Inzicht'!R67+'A Inzicht'!R68+'A Inzicht'!R69+'A Inzicht'!R70)</f>
        <v>0</v>
      </c>
      <c r="G26" s="67"/>
      <c r="H26" s="79">
        <f>F26/F29</f>
        <v>0</v>
      </c>
    </row>
    <row r="27" spans="1:8" ht="14.15" customHeight="1" x14ac:dyDescent="0.65">
      <c r="A27" s="67"/>
      <c r="B27" s="67"/>
      <c r="C27" s="67" t="s">
        <v>13</v>
      </c>
      <c r="D27" s="67"/>
      <c r="E27" s="67"/>
      <c r="F27" s="80">
        <f>'A Inzicht'!R71+'A Inzicht'!R72+'A Inzicht'!R73</f>
        <v>0</v>
      </c>
      <c r="G27" s="67"/>
      <c r="H27" s="79">
        <f>F27/F29</f>
        <v>0</v>
      </c>
    </row>
    <row r="28" spans="1:8" ht="14.15" customHeight="1" x14ac:dyDescent="0.65">
      <c r="A28" s="67"/>
      <c r="B28" s="67"/>
      <c r="C28" s="67"/>
      <c r="D28" s="67"/>
      <c r="E28" s="67"/>
      <c r="F28" s="68"/>
      <c r="G28" s="67"/>
      <c r="H28" s="79"/>
    </row>
    <row r="29" spans="1:8" ht="14.15" customHeight="1" x14ac:dyDescent="0.65">
      <c r="A29" s="67"/>
      <c r="B29" s="67"/>
      <c r="C29" s="67"/>
      <c r="D29" s="67"/>
      <c r="E29" s="73" t="s">
        <v>64</v>
      </c>
      <c r="F29" s="82">
        <f>G12+G19</f>
        <v>1309.1466059999998</v>
      </c>
      <c r="G29" s="72" t="s">
        <v>120</v>
      </c>
      <c r="H29" s="79"/>
    </row>
    <row r="30" spans="1:8" ht="14.15" customHeight="1" x14ac:dyDescent="0.65">
      <c r="A30" s="67"/>
      <c r="B30" s="67"/>
      <c r="C30" s="67"/>
      <c r="D30" s="67"/>
      <c r="E30" s="67"/>
      <c r="F30" s="68"/>
      <c r="G30" s="67"/>
      <c r="H30" s="79"/>
    </row>
    <row r="32" spans="1:8" ht="14.15" customHeight="1" x14ac:dyDescent="0.65">
      <c r="A32" s="59" t="s">
        <v>62</v>
      </c>
      <c r="F32" s="59"/>
      <c r="G32" s="83"/>
      <c r="H32" s="66"/>
    </row>
    <row r="33" spans="1:8" ht="14.15" customHeight="1" x14ac:dyDescent="0.65">
      <c r="D33" s="59" t="s">
        <v>121</v>
      </c>
      <c r="F33" s="59"/>
      <c r="G33" s="62">
        <f>G12/Sleutels!G7</f>
        <v>1.123262188505747</v>
      </c>
      <c r="H33" s="66" t="s">
        <v>120</v>
      </c>
    </row>
    <row r="34" spans="1:8" ht="14.15" customHeight="1" x14ac:dyDescent="0.65">
      <c r="D34" s="59" t="s">
        <v>135</v>
      </c>
      <c r="F34" s="59"/>
      <c r="G34" s="83">
        <f>G12/Sleutels!G6</f>
        <v>7.5172161846153838</v>
      </c>
      <c r="H34" s="66" t="s">
        <v>120</v>
      </c>
    </row>
    <row r="35" spans="1:8" ht="14.15" customHeight="1" x14ac:dyDescent="0.65">
      <c r="A35" s="59" t="s">
        <v>63</v>
      </c>
      <c r="F35" s="59"/>
      <c r="G35" s="62"/>
      <c r="H35" s="66"/>
    </row>
    <row r="36" spans="1:8" ht="14.15" customHeight="1" x14ac:dyDescent="0.65">
      <c r="C36" s="84"/>
      <c r="D36" s="59" t="s">
        <v>121</v>
      </c>
      <c r="E36" s="84"/>
      <c r="F36" s="84"/>
      <c r="G36" s="83">
        <f>G19/Sleutels!G7</f>
        <v>13.924399949425284</v>
      </c>
      <c r="H36" s="66" t="s">
        <v>120</v>
      </c>
    </row>
    <row r="37" spans="1:8" ht="14.15" customHeight="1" x14ac:dyDescent="0.65">
      <c r="C37" s="84"/>
      <c r="D37" s="59" t="s">
        <v>135</v>
      </c>
      <c r="E37" s="84"/>
      <c r="F37" s="84"/>
      <c r="G37" s="62">
        <f>G19/Sleutels!G6</f>
        <v>93.186368892307669</v>
      </c>
      <c r="H37" s="66" t="s">
        <v>120</v>
      </c>
    </row>
    <row r="38" spans="1:8" ht="14.15" customHeight="1" x14ac:dyDescent="0.65">
      <c r="C38" s="85"/>
      <c r="D38" s="85"/>
    </row>
  </sheetData>
  <mergeCells count="2">
    <mergeCell ref="H2:I2"/>
    <mergeCell ref="F11:G11"/>
  </mergeCells>
  <pageMargins left="0.7" right="0.7" top="0.75" bottom="0.75" header="0.3" footer="0.3"/>
  <pageSetup paperSize="9" scale="80" orientation="landscape" horizontalDpi="0" verticalDpi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  <pageSetUpPr fitToPage="1"/>
  </sheetPr>
  <dimension ref="A1:Q50"/>
  <sheetViews>
    <sheetView zoomScale="120" zoomScaleNormal="120" zoomScalePageLayoutView="130" workbookViewId="0">
      <selection activeCell="E8" sqref="E8"/>
    </sheetView>
  </sheetViews>
  <sheetFormatPr defaultColWidth="8.86328125" defaultRowHeight="14.15" customHeight="1" x14ac:dyDescent="0.65"/>
  <cols>
    <col min="1" max="1" width="1.26953125" style="59" customWidth="1"/>
    <col min="2" max="2" width="1.7265625" style="59" customWidth="1"/>
    <col min="3" max="3" width="10.86328125" style="59" customWidth="1"/>
    <col min="4" max="4" width="1.86328125" style="59" customWidth="1"/>
    <col min="5" max="5" width="20.7265625" style="59" customWidth="1"/>
    <col min="6" max="6" width="8" style="62" customWidth="1"/>
    <col min="7" max="7" width="8" style="59" customWidth="1"/>
    <col min="8" max="8" width="11.7265625" style="62" customWidth="1"/>
    <col min="9" max="26" width="7.40625" style="59" customWidth="1"/>
    <col min="27" max="16384" width="8.86328125" style="59"/>
  </cols>
  <sheetData>
    <row r="1" spans="1:15" s="55" customFormat="1" ht="14.15" customHeight="1" x14ac:dyDescent="0.75">
      <c r="F1" s="56"/>
      <c r="H1" s="57"/>
    </row>
    <row r="2" spans="1:15" s="55" customFormat="1" ht="14.15" customHeight="1" x14ac:dyDescent="0.75">
      <c r="B2" s="94" t="s">
        <v>24</v>
      </c>
      <c r="F2" s="56"/>
      <c r="H2" s="372" t="s">
        <v>119</v>
      </c>
      <c r="I2" s="373"/>
      <c r="K2" s="374" t="str" cm="1">
        <f t="array" aca="1" ref="K2" ca="1">MID(CELL("filename",$A$1),SEARCH("]", CELL("filename",$A$1))+1,999)</f>
        <v>2025 H1</v>
      </c>
      <c r="L2" s="374"/>
      <c r="M2" s="374"/>
    </row>
    <row r="3" spans="1:15" s="55" customFormat="1" ht="14.15" customHeight="1" x14ac:dyDescent="0.75">
      <c r="F3" s="56"/>
      <c r="G3" s="58"/>
      <c r="H3" s="57"/>
    </row>
    <row r="4" spans="1:15" s="55" customFormat="1" ht="14.15" customHeight="1" x14ac:dyDescent="0.75">
      <c r="F4" s="56"/>
      <c r="H4" s="57"/>
    </row>
    <row r="6" spans="1:15" ht="14.15" customHeight="1" x14ac:dyDescent="0.7">
      <c r="B6" s="60" t="s">
        <v>5</v>
      </c>
      <c r="C6" s="61"/>
      <c r="D6" s="61"/>
      <c r="E6" s="61" t="str">
        <f>'2024 verdeling'!E6</f>
        <v>Vreugdenhil Berging</v>
      </c>
      <c r="F6" s="66"/>
      <c r="G6" s="63"/>
      <c r="O6" s="64" t="s">
        <v>4</v>
      </c>
    </row>
    <row r="7" spans="1:15" ht="14.15" customHeight="1" x14ac:dyDescent="0.65">
      <c r="B7" s="61" t="s">
        <v>6</v>
      </c>
      <c r="C7" s="61"/>
      <c r="D7" s="61"/>
      <c r="E7" s="164">
        <f>'2024 H1'!E7</f>
        <v>27183387</v>
      </c>
      <c r="F7" s="66"/>
      <c r="G7" s="81"/>
    </row>
    <row r="8" spans="1:15" ht="14.15" customHeight="1" x14ac:dyDescent="0.65">
      <c r="B8" s="61" t="s">
        <v>11</v>
      </c>
      <c r="C8" s="61"/>
      <c r="D8" s="61"/>
      <c r="E8" s="65" t="s">
        <v>165</v>
      </c>
      <c r="F8" s="66"/>
    </row>
    <row r="10" spans="1:15" ht="14.15" customHeight="1" x14ac:dyDescent="0.65">
      <c r="A10" s="67"/>
      <c r="B10" s="67"/>
      <c r="C10" s="67"/>
      <c r="D10" s="67"/>
      <c r="E10" s="67"/>
      <c r="F10" s="67"/>
      <c r="G10" s="67"/>
      <c r="H10" s="68"/>
    </row>
    <row r="11" spans="1:15" s="71" customFormat="1" ht="14.15" customHeight="1" x14ac:dyDescent="0.65">
      <c r="A11" s="69"/>
      <c r="B11" s="69"/>
      <c r="C11" s="69"/>
      <c r="D11" s="69"/>
      <c r="E11" s="69"/>
      <c r="F11" s="375" t="s">
        <v>120</v>
      </c>
      <c r="G11" s="375"/>
      <c r="H11" s="70" t="s">
        <v>7</v>
      </c>
    </row>
    <row r="12" spans="1:15" s="77" customFormat="1" ht="14.15" customHeight="1" x14ac:dyDescent="0.65">
      <c r="A12" s="72"/>
      <c r="B12" s="72" t="s">
        <v>1</v>
      </c>
      <c r="C12" s="72"/>
      <c r="D12" s="72"/>
      <c r="E12" s="73"/>
      <c r="F12" s="74"/>
      <c r="G12" s="75">
        <f>SUM(F13:F18)</f>
        <v>589.18410100000006</v>
      </c>
      <c r="H12" s="76">
        <f>G12/F30</f>
        <v>1</v>
      </c>
    </row>
    <row r="13" spans="1:15" ht="14.15" customHeight="1" x14ac:dyDescent="0.65">
      <c r="A13" s="67"/>
      <c r="B13" s="67"/>
      <c r="C13" s="67" t="s">
        <v>155</v>
      </c>
      <c r="D13" s="67"/>
      <c r="E13" s="67"/>
      <c r="F13" s="78">
        <f>'A Inzicht'!U7+'A Inzicht'!U8+'A Inzicht'!U9+'A Inzicht'!U10+'A Inzicht'!U11+'A Inzicht'!U12+'A Inzicht'!U13</f>
        <v>0</v>
      </c>
      <c r="G13" s="67"/>
      <c r="H13" s="79">
        <f>F13/F30</f>
        <v>0</v>
      </c>
    </row>
    <row r="14" spans="1:15" ht="14.15" customHeight="1" x14ac:dyDescent="0.65">
      <c r="A14" s="67"/>
      <c r="B14" s="67"/>
      <c r="C14" s="67" t="s">
        <v>154</v>
      </c>
      <c r="D14" s="67"/>
      <c r="E14" s="67"/>
      <c r="F14" s="78">
        <f>'A Inzicht'!U14+'A Inzicht'!U15+'A Inzicht'!U16+'A Inzicht'!U17+'A Inzicht'!U18+'A Inzicht'!U19+'A Inzicht'!U20</f>
        <v>589.18410100000006</v>
      </c>
      <c r="G14" s="67"/>
      <c r="H14" s="79">
        <f>F14/F30</f>
        <v>1</v>
      </c>
    </row>
    <row r="15" spans="1:15" ht="14.15" customHeight="1" x14ac:dyDescent="0.65">
      <c r="A15" s="67"/>
      <c r="B15" s="67"/>
      <c r="C15" s="67" t="s">
        <v>48</v>
      </c>
      <c r="D15" s="67"/>
      <c r="E15" s="67"/>
      <c r="F15" s="78">
        <f>'A Inzicht'!U21+'A Inzicht'!U22+'A Inzicht'!U23</f>
        <v>0</v>
      </c>
      <c r="G15" s="67"/>
      <c r="H15" s="79">
        <f>F15/F30</f>
        <v>0</v>
      </c>
    </row>
    <row r="16" spans="1:15" ht="14.15" customHeight="1" x14ac:dyDescent="0.65">
      <c r="A16" s="67"/>
      <c r="B16" s="67"/>
      <c r="C16" s="67" t="s">
        <v>8</v>
      </c>
      <c r="D16" s="67"/>
      <c r="E16" s="67"/>
      <c r="F16" s="80">
        <f>'A Inzicht'!U24+'A Inzicht'!U25+'A Inzicht'!U26+'A Inzicht'!U27+'A Inzicht'!U28+'A Inzicht'!U29+'A Inzicht'!U30</f>
        <v>0</v>
      </c>
      <c r="G16" s="67"/>
      <c r="H16" s="79">
        <f>F16/F30</f>
        <v>0</v>
      </c>
    </row>
    <row r="17" spans="1:17" ht="14.15" customHeight="1" x14ac:dyDescent="0.65">
      <c r="A17" s="67"/>
      <c r="B17" s="67"/>
      <c r="C17" s="67" t="s">
        <v>143</v>
      </c>
      <c r="D17" s="67"/>
      <c r="E17" s="67"/>
      <c r="F17" s="80">
        <f>'A Inzicht'!U31+'A Inzicht'!U32+'A Inzicht'!U33</f>
        <v>0</v>
      </c>
      <c r="G17" s="67"/>
      <c r="H17" s="79">
        <f>F17/F30</f>
        <v>0</v>
      </c>
    </row>
    <row r="18" spans="1:17" ht="14.15" customHeight="1" x14ac:dyDescent="0.65">
      <c r="A18" s="67"/>
      <c r="B18" s="67"/>
      <c r="C18" s="67"/>
      <c r="D18" s="67"/>
      <c r="E18" s="67"/>
      <c r="F18" s="68"/>
      <c r="G18" s="67"/>
      <c r="H18" s="79"/>
    </row>
    <row r="19" spans="1:17" s="77" customFormat="1" ht="14.15" customHeight="1" x14ac:dyDescent="0.65">
      <c r="A19" s="72"/>
      <c r="B19" s="72" t="s">
        <v>0</v>
      </c>
      <c r="C19" s="72"/>
      <c r="D19" s="72"/>
      <c r="E19" s="73"/>
      <c r="F19" s="74"/>
      <c r="G19" s="75">
        <f>SUM(F20:F23)</f>
        <v>0</v>
      </c>
      <c r="H19" s="76">
        <f>G19/F30</f>
        <v>0</v>
      </c>
    </row>
    <row r="20" spans="1:17" ht="14.15" customHeight="1" x14ac:dyDescent="0.65">
      <c r="A20" s="67"/>
      <c r="B20" s="67"/>
      <c r="C20" s="67" t="s">
        <v>60</v>
      </c>
      <c r="D20" s="67"/>
      <c r="E20" s="67"/>
      <c r="F20" s="80">
        <f>'A Inzicht'!U36+'A Inzicht'!U37+'A Inzicht'!U38+'A Inzicht'!U39</f>
        <v>0</v>
      </c>
      <c r="G20" s="67"/>
      <c r="H20" s="79">
        <f>F20/F30</f>
        <v>0</v>
      </c>
    </row>
    <row r="21" spans="1:17" ht="14.15" customHeight="1" x14ac:dyDescent="0.65">
      <c r="A21" s="67"/>
      <c r="B21" s="67"/>
      <c r="C21" s="67" t="s">
        <v>79</v>
      </c>
      <c r="D21" s="67"/>
      <c r="E21" s="67"/>
      <c r="F21" s="80">
        <f>'A Inzicht'!U40+'A Inzicht'!U41+'A Inzicht'!U42</f>
        <v>0</v>
      </c>
      <c r="G21" s="67"/>
      <c r="H21" s="79">
        <f>F21/F30</f>
        <v>0</v>
      </c>
    </row>
    <row r="22" spans="1:17" ht="14.15" customHeight="1" x14ac:dyDescent="0.65">
      <c r="A22" s="67"/>
      <c r="B22" s="67"/>
      <c r="C22" s="67" t="s">
        <v>59</v>
      </c>
      <c r="D22" s="67"/>
      <c r="E22" s="67"/>
      <c r="F22" s="80">
        <f>'A Inzicht'!U43+'A Inzicht'!U44+'A Inzicht'!U45+'A Inzicht'!U46+'A Inzicht'!U47+'A Inzicht'!U47+'A Inzicht'!U48</f>
        <v>0</v>
      </c>
      <c r="G22" s="67"/>
      <c r="H22" s="79">
        <f>F22/F30</f>
        <v>0</v>
      </c>
    </row>
    <row r="23" spans="1:17" ht="14.15" customHeight="1" x14ac:dyDescent="0.65">
      <c r="A23" s="67"/>
      <c r="B23" s="67"/>
      <c r="C23" s="67"/>
      <c r="D23" s="67"/>
      <c r="E23" s="67"/>
      <c r="F23" s="68"/>
      <c r="G23" s="67"/>
      <c r="H23" s="79"/>
    </row>
    <row r="24" spans="1:17" ht="14.15" customHeight="1" x14ac:dyDescent="0.65">
      <c r="A24" s="67"/>
      <c r="B24" s="72" t="s">
        <v>93</v>
      </c>
      <c r="C24" s="67"/>
      <c r="D24" s="67"/>
      <c r="E24" s="67"/>
      <c r="F24" s="68"/>
      <c r="G24" s="75">
        <f>SUM(F25:F29)</f>
        <v>0</v>
      </c>
      <c r="H24" s="76">
        <f>G24/F30</f>
        <v>0</v>
      </c>
    </row>
    <row r="25" spans="1:17" ht="14.15" customHeight="1" x14ac:dyDescent="0.65">
      <c r="A25" s="67"/>
      <c r="B25" s="67"/>
      <c r="C25" s="67" t="s">
        <v>25</v>
      </c>
      <c r="D25" s="67"/>
      <c r="E25" s="67"/>
      <c r="F25" s="80">
        <f>'A Inzicht'!U51+'A Inzicht'!U52+'A Inzicht'!U53+'A Inzicht'!U54+'A Inzicht'!U55+'A Inzicht'!U56+'A Inzicht'!U57+'A Inzicht'!U58+'A Inzicht'!U59+'A Inzicht'!U60+'A Inzicht'!U61</f>
        <v>0</v>
      </c>
      <c r="G25" s="67"/>
      <c r="H25" s="79">
        <f>F25/F30</f>
        <v>0</v>
      </c>
    </row>
    <row r="26" spans="1:17" ht="14.15" customHeight="1" x14ac:dyDescent="0.65">
      <c r="A26" s="67"/>
      <c r="B26" s="67"/>
      <c r="C26" s="67" t="s">
        <v>27</v>
      </c>
      <c r="D26" s="67"/>
      <c r="E26" s="67"/>
      <c r="F26" s="80">
        <f>'A Inzicht'!U62+'A Inzicht'!U63+'A Inzicht'!U64+'A Inzicht'!U65+'A Inzicht'!U66+'A Inzicht'!U67+'A Inzicht'!U68+'A Inzicht'!U69+'A Inzicht'!U70</f>
        <v>0</v>
      </c>
      <c r="G26" s="67"/>
      <c r="H26" s="79">
        <f>F26/F30</f>
        <v>0</v>
      </c>
      <c r="Q26" s="81"/>
    </row>
    <row r="27" spans="1:17" ht="14.15" customHeight="1" x14ac:dyDescent="0.65">
      <c r="A27" s="67"/>
      <c r="B27" s="67"/>
      <c r="C27" s="67" t="s">
        <v>13</v>
      </c>
      <c r="D27" s="67"/>
      <c r="E27" s="67"/>
      <c r="F27" s="80">
        <f>'A Inzicht'!U71+'A Inzicht'!U72+'A Inzicht'!U73</f>
        <v>0</v>
      </c>
      <c r="G27" s="67"/>
      <c r="H27" s="79">
        <f>F27/F30</f>
        <v>0</v>
      </c>
    </row>
    <row r="28" spans="1:17" ht="14.15" customHeight="1" x14ac:dyDescent="0.65">
      <c r="A28" s="67"/>
      <c r="B28" s="67"/>
      <c r="C28" s="67" t="s">
        <v>30</v>
      </c>
      <c r="D28" s="67"/>
      <c r="E28" s="67"/>
      <c r="F28" s="80">
        <f>'A Inzicht'!U74+'A Inzicht'!U75</f>
        <v>0</v>
      </c>
      <c r="G28" s="67"/>
      <c r="H28" s="79">
        <f>F28/F30</f>
        <v>0</v>
      </c>
      <c r="Q28" s="81"/>
    </row>
    <row r="29" spans="1:17" ht="14.15" customHeight="1" x14ac:dyDescent="0.65">
      <c r="A29" s="67"/>
      <c r="B29" s="67"/>
      <c r="C29" s="67"/>
      <c r="D29" s="67"/>
      <c r="E29" s="67"/>
      <c r="F29" s="68"/>
      <c r="G29" s="67"/>
      <c r="H29" s="79"/>
    </row>
    <row r="30" spans="1:17" ht="14.15" customHeight="1" x14ac:dyDescent="0.65">
      <c r="A30" s="67"/>
      <c r="B30" s="67"/>
      <c r="C30" s="67"/>
      <c r="D30" s="67"/>
      <c r="E30" s="73" t="s">
        <v>20</v>
      </c>
      <c r="F30" s="82">
        <f>G12+G19+G24</f>
        <v>589.18410100000006</v>
      </c>
      <c r="G30" s="72" t="s">
        <v>120</v>
      </c>
      <c r="H30" s="79"/>
    </row>
    <row r="31" spans="1:17" ht="14.15" customHeight="1" x14ac:dyDescent="0.65">
      <c r="A31" s="67"/>
      <c r="B31" s="67"/>
      <c r="C31" s="67"/>
      <c r="D31" s="67"/>
      <c r="E31" s="67"/>
      <c r="F31" s="68"/>
      <c r="G31" s="67"/>
      <c r="H31" s="79"/>
    </row>
    <row r="33" spans="1:17" ht="14.15" customHeight="1" x14ac:dyDescent="0.65">
      <c r="A33" s="59" t="s">
        <v>21</v>
      </c>
      <c r="D33" s="59" t="s">
        <v>135</v>
      </c>
      <c r="F33" s="59"/>
      <c r="G33" s="93">
        <f>G12/Sleutels!H6</f>
        <v>535.62190999999996</v>
      </c>
      <c r="H33" s="66" t="s">
        <v>120</v>
      </c>
    </row>
    <row r="34" spans="1:17" ht="14.15" customHeight="1" x14ac:dyDescent="0.65">
      <c r="D34" s="59" t="s">
        <v>121</v>
      </c>
      <c r="F34" s="59"/>
      <c r="G34" s="93">
        <f>G12/(Sleutels!H7/2)</f>
        <v>1178.3682020000001</v>
      </c>
      <c r="H34" s="66" t="s">
        <v>120</v>
      </c>
    </row>
    <row r="35" spans="1:17" ht="14.15" customHeight="1" x14ac:dyDescent="0.65">
      <c r="A35" s="59" t="s">
        <v>137</v>
      </c>
    </row>
    <row r="36" spans="1:17" ht="14.15" customHeight="1" x14ac:dyDescent="0.65">
      <c r="D36" s="59" t="s">
        <v>135</v>
      </c>
      <c r="F36" s="59"/>
      <c r="G36" s="93">
        <f>(G19+G24)/Sleutels!H6</f>
        <v>0</v>
      </c>
      <c r="H36" s="66" t="s">
        <v>120</v>
      </c>
    </row>
    <row r="37" spans="1:17" ht="14.15" customHeight="1" x14ac:dyDescent="0.65">
      <c r="A37" s="84"/>
      <c r="D37" s="59" t="s">
        <v>121</v>
      </c>
      <c r="F37" s="59"/>
      <c r="G37" s="93">
        <f>(G19+G24)/(Sleutels!H7/2)</f>
        <v>0</v>
      </c>
      <c r="H37" s="66" t="s">
        <v>120</v>
      </c>
    </row>
    <row r="38" spans="1:17" ht="14.15" customHeight="1" x14ac:dyDescent="0.65">
      <c r="C38" s="84"/>
      <c r="E38" s="84"/>
      <c r="F38" s="84"/>
      <c r="G38" s="93"/>
      <c r="H38" s="66"/>
    </row>
    <row r="39" spans="1:17" ht="14.15" customHeight="1" x14ac:dyDescent="0.65">
      <c r="C39" s="85"/>
      <c r="D39" s="85"/>
    </row>
    <row r="48" spans="1:17" ht="14.15" customHeight="1" x14ac:dyDescent="0.65">
      <c r="A48" s="53"/>
      <c r="B48" s="53"/>
      <c r="C48" s="53"/>
      <c r="D48" s="53"/>
      <c r="E48" s="55"/>
      <c r="F48" s="53"/>
      <c r="G48" s="54"/>
      <c r="H48" s="53"/>
      <c r="I48" s="53"/>
      <c r="J48" s="53"/>
      <c r="K48" s="53"/>
      <c r="L48" s="53"/>
      <c r="M48" s="53"/>
      <c r="N48" s="53"/>
      <c r="O48" s="53"/>
      <c r="P48" s="53"/>
      <c r="Q48" s="53"/>
    </row>
    <row r="49" spans="1:17" ht="14.15" customHeight="1" x14ac:dyDescent="0.65">
      <c r="A49" s="53"/>
      <c r="B49" s="53"/>
      <c r="C49" s="53"/>
      <c r="D49" s="53"/>
      <c r="E49" s="54"/>
      <c r="F49" s="53"/>
      <c r="G49" s="54"/>
      <c r="H49" s="53"/>
      <c r="I49" s="53"/>
      <c r="J49" s="53"/>
      <c r="K49" s="53"/>
      <c r="L49" s="53"/>
      <c r="M49" s="53"/>
      <c r="N49" s="53"/>
      <c r="O49" s="53"/>
      <c r="P49" s="53"/>
      <c r="Q49" s="53"/>
    </row>
    <row r="50" spans="1:17" ht="14.15" customHeight="1" x14ac:dyDescent="0.65">
      <c r="A50" s="53"/>
      <c r="B50" s="53"/>
      <c r="C50" s="53"/>
      <c r="D50" s="53"/>
      <c r="E50" s="54"/>
      <c r="F50" s="53"/>
      <c r="G50" s="54"/>
      <c r="H50" s="53"/>
      <c r="I50" s="53"/>
      <c r="J50" s="53"/>
      <c r="K50" s="53"/>
      <c r="L50" s="53"/>
      <c r="M50" s="53"/>
      <c r="N50" s="53"/>
      <c r="O50" s="53"/>
      <c r="P50" s="53"/>
      <c r="Q50" s="53"/>
    </row>
  </sheetData>
  <mergeCells count="3">
    <mergeCell ref="H2:I2"/>
    <mergeCell ref="K2:M2"/>
    <mergeCell ref="F11:G11"/>
  </mergeCells>
  <phoneticPr fontId="2" type="noConversion"/>
  <pageMargins left="0.7" right="0.7" top="0.75" bottom="0.75" header="0.3" footer="0.3"/>
  <pageSetup paperSize="9" scale="80" orientation="landscape" horizontalDpi="4294967293" verticalDpi="4294967293" r:id="rId1"/>
  <drawing r:id="rId2"/>
  <extLst>
    <ext xmlns:mx="http://schemas.microsoft.com/office/mac/excel/2008/main" uri="{64002731-A6B0-56B0-2670-7721B7C09600}">
      <mx:PLV Mode="1" OnePage="0" WScale="10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  <pageSetUpPr fitToPage="1"/>
  </sheetPr>
  <dimension ref="A1:O38"/>
  <sheetViews>
    <sheetView zoomScale="120" zoomScaleNormal="120" zoomScalePageLayoutView="130" workbookViewId="0">
      <selection activeCell="E9" sqref="E9"/>
    </sheetView>
  </sheetViews>
  <sheetFormatPr defaultColWidth="8.86328125" defaultRowHeight="14.15" customHeight="1" x14ac:dyDescent="0.65"/>
  <cols>
    <col min="1" max="1" width="1.26953125" style="59" customWidth="1"/>
    <col min="2" max="2" width="1.7265625" style="59" customWidth="1"/>
    <col min="3" max="3" width="10.86328125" style="59" customWidth="1"/>
    <col min="4" max="4" width="1.86328125" style="59" customWidth="1"/>
    <col min="5" max="5" width="20.7265625" style="59" customWidth="1"/>
    <col min="6" max="6" width="8" style="62" customWidth="1"/>
    <col min="7" max="7" width="8" style="59" customWidth="1"/>
    <col min="8" max="8" width="11.7265625" style="62" customWidth="1"/>
    <col min="9" max="26" width="7.40625" style="59" customWidth="1"/>
    <col min="27" max="16384" width="8.86328125" style="59"/>
  </cols>
  <sheetData>
    <row r="1" spans="1:15" s="55" customFormat="1" ht="14.15" customHeight="1" x14ac:dyDescent="0.75">
      <c r="F1" s="56"/>
      <c r="H1" s="57"/>
    </row>
    <row r="2" spans="1:15" s="55" customFormat="1" ht="14.15" customHeight="1" x14ac:dyDescent="0.75">
      <c r="B2" s="94" t="s">
        <v>24</v>
      </c>
      <c r="F2" s="56"/>
      <c r="H2" s="372" t="s">
        <v>119</v>
      </c>
      <c r="I2" s="372"/>
      <c r="K2" s="50" t="str" cm="1">
        <f t="array" aca="1" ref="K2" ca="1">MID(CELL("filename",$A$1),SEARCH("]", CELL("filename",$A$1))+1,999)</f>
        <v>2025 verdeling</v>
      </c>
      <c r="L2" s="50"/>
      <c r="M2" s="50" t="s">
        <v>167</v>
      </c>
    </row>
    <row r="3" spans="1:15" s="55" customFormat="1" ht="14.15" customHeight="1" x14ac:dyDescent="0.75">
      <c r="F3" s="56"/>
      <c r="G3" s="58"/>
      <c r="H3" s="57"/>
      <c r="J3" s="108" t="s">
        <v>166</v>
      </c>
    </row>
    <row r="4" spans="1:15" s="55" customFormat="1" ht="14.15" customHeight="1" x14ac:dyDescent="0.75">
      <c r="F4" s="56"/>
      <c r="H4" s="57"/>
      <c r="J4" s="108" t="s">
        <v>108</v>
      </c>
    </row>
    <row r="6" spans="1:15" ht="14.15" customHeight="1" x14ac:dyDescent="0.7">
      <c r="B6" s="60" t="s">
        <v>5</v>
      </c>
      <c r="C6" s="61"/>
      <c r="D6" s="61"/>
      <c r="E6" s="61" t="str">
        <f>'2025 project'!E6</f>
        <v>Vreugdenhil Berging</v>
      </c>
      <c r="G6" s="63"/>
      <c r="O6" s="64" t="s">
        <v>4</v>
      </c>
    </row>
    <row r="7" spans="1:15" ht="14.15" customHeight="1" x14ac:dyDescent="0.65">
      <c r="B7" s="61" t="s">
        <v>6</v>
      </c>
      <c r="C7" s="61"/>
      <c r="D7" s="61"/>
      <c r="E7" s="164">
        <f>'2024 H1'!E7</f>
        <v>27183387</v>
      </c>
      <c r="F7" s="66"/>
    </row>
    <row r="8" spans="1:15" ht="14.15" customHeight="1" x14ac:dyDescent="0.65">
      <c r="B8" s="61" t="s">
        <v>11</v>
      </c>
      <c r="C8" s="61"/>
      <c r="D8" s="61"/>
      <c r="E8" s="65" t="s">
        <v>179</v>
      </c>
    </row>
    <row r="10" spans="1:15" ht="14.15" customHeight="1" x14ac:dyDescent="0.65">
      <c r="A10" s="67"/>
      <c r="B10" s="67"/>
      <c r="C10" s="67"/>
      <c r="D10" s="67"/>
      <c r="E10" s="67"/>
      <c r="F10" s="67"/>
      <c r="G10" s="67"/>
      <c r="H10" s="68"/>
    </row>
    <row r="11" spans="1:15" s="71" customFormat="1" ht="14.15" customHeight="1" x14ac:dyDescent="0.65">
      <c r="A11" s="69"/>
      <c r="B11" s="69"/>
      <c r="C11" s="69"/>
      <c r="D11" s="69"/>
      <c r="E11" s="69"/>
      <c r="F11" s="375" t="s">
        <v>120</v>
      </c>
      <c r="G11" s="375"/>
      <c r="H11" s="70" t="s">
        <v>7</v>
      </c>
    </row>
    <row r="12" spans="1:15" s="77" customFormat="1" ht="14.15" customHeight="1" x14ac:dyDescent="0.65">
      <c r="A12" s="72"/>
      <c r="B12" s="72" t="s">
        <v>62</v>
      </c>
      <c r="C12" s="72"/>
      <c r="D12" s="72"/>
      <c r="E12" s="73"/>
      <c r="F12" s="74"/>
      <c r="G12" s="75">
        <f>SUM(F13:F17)</f>
        <v>0</v>
      </c>
      <c r="H12" s="76">
        <f>G12/F29</f>
        <v>0</v>
      </c>
    </row>
    <row r="13" spans="1:15" ht="14.15" customHeight="1" x14ac:dyDescent="0.65">
      <c r="A13" s="67"/>
      <c r="B13" s="67"/>
      <c r="C13" s="67" t="s">
        <v>155</v>
      </c>
      <c r="D13" s="67"/>
      <c r="E13" s="67"/>
      <c r="F13" s="78">
        <f>Sleutels!J31*('A Inzicht'!Y7+'A Inzicht'!Y8+'A Inzicht'!Y9+'A Inzicht'!Y10+'A Inzicht'!Y11+'A Inzicht'!Y12+'A Inzicht'!Y13+'A Inzicht'!Y40+'A Inzicht'!Y41+'A Inzicht'!Y42+'A Inzicht'!Y51+'A Inzicht'!Y52+'A Inzicht'!Y53+'A Inzicht'!Y54+'A Inzicht'!Y55+'A Inzicht'!Y56+'A Inzicht'!Y57+'A Inzicht'!Y58+'A Inzicht'!Y59+'A Inzicht'!Y60+'A Inzicht'!Y61)</f>
        <v>0</v>
      </c>
      <c r="G13" s="67"/>
      <c r="H13" s="79">
        <f>F13/F29</f>
        <v>0</v>
      </c>
    </row>
    <row r="14" spans="1:15" ht="14.15" customHeight="1" x14ac:dyDescent="0.65">
      <c r="A14" s="67"/>
      <c r="B14" s="67"/>
      <c r="C14" s="67" t="s">
        <v>8</v>
      </c>
      <c r="D14" s="67"/>
      <c r="E14" s="67"/>
      <c r="F14" s="80">
        <f>Sleutels!J33*('A Inzicht'!Y24+'A Inzicht'!Y25+'A Inzicht'!Y26+'A Inzicht'!Y27+'A Inzicht'!Y28+'A Inzicht'!Y29+'A Inzicht'!Y30)</f>
        <v>0</v>
      </c>
      <c r="G14" s="67"/>
      <c r="H14" s="79">
        <f>F14/F29</f>
        <v>0</v>
      </c>
    </row>
    <row r="15" spans="1:15" ht="14.15" customHeight="1" x14ac:dyDescent="0.65">
      <c r="A15" s="67"/>
      <c r="B15" s="67"/>
      <c r="C15" s="67" t="s">
        <v>143</v>
      </c>
      <c r="D15" s="67"/>
      <c r="E15" s="67"/>
      <c r="F15" s="80">
        <f>Sleutels!J34*('A Inzicht'!Y31+'A Inzicht'!Y32+'A Inzicht'!Y33+'A Inzicht'!Y43+'A Inzicht'!Y44+'A Inzicht'!Y45+'A Inzicht'!Y46+'A Inzicht'!Y47+'A Inzicht'!Y48)</f>
        <v>0</v>
      </c>
      <c r="G15" s="67"/>
      <c r="H15" s="79">
        <f>F15/F29</f>
        <v>0</v>
      </c>
    </row>
    <row r="16" spans="1:15" ht="14.15" customHeight="1" x14ac:dyDescent="0.65">
      <c r="A16" s="67"/>
      <c r="B16" s="67"/>
      <c r="C16" s="67" t="s">
        <v>60</v>
      </c>
      <c r="D16" s="67"/>
      <c r="E16" s="67"/>
      <c r="F16" s="80">
        <f>Sleutels!J35*('A Inzicht'!Y36+'A Inzicht'!Y37+'A Inzicht'!Y38+'A Inzicht'!Y39)</f>
        <v>0</v>
      </c>
      <c r="G16" s="67"/>
      <c r="H16" s="79">
        <f>F16/F29</f>
        <v>0</v>
      </c>
    </row>
    <row r="17" spans="1:8" ht="14.15" customHeight="1" x14ac:dyDescent="0.65">
      <c r="A17" s="67"/>
      <c r="B17" s="67"/>
      <c r="C17" s="67" t="s">
        <v>27</v>
      </c>
      <c r="D17" s="67"/>
      <c r="E17" s="67"/>
      <c r="F17" s="80">
        <f>Sleutels!J36*('A Inzicht'!Y62+'A Inzicht'!Y63+'A Inzicht'!Y64+'A Inzicht'!Y65+'A Inzicht'!Y66+'A Inzicht'!Y67+'A Inzicht'!Y68+'A Inzicht'!Y69+'A Inzicht'!Y70)</f>
        <v>0</v>
      </c>
      <c r="G17" s="67"/>
      <c r="H17" s="79">
        <f>F17/F29</f>
        <v>0</v>
      </c>
    </row>
    <row r="18" spans="1:8" ht="14.15" customHeight="1" x14ac:dyDescent="0.65">
      <c r="A18" s="67"/>
      <c r="B18" s="67"/>
      <c r="C18" s="67"/>
      <c r="D18" s="67"/>
      <c r="E18" s="67"/>
      <c r="F18" s="68"/>
      <c r="G18" s="67"/>
      <c r="H18" s="79"/>
    </row>
    <row r="19" spans="1:8" ht="14.15" customHeight="1" x14ac:dyDescent="0.65">
      <c r="A19" s="72"/>
      <c r="B19" s="72" t="s">
        <v>63</v>
      </c>
      <c r="C19" s="72"/>
      <c r="D19" s="72"/>
      <c r="E19" s="73"/>
      <c r="F19" s="74"/>
      <c r="G19" s="75">
        <f>SUM(F20:F27)</f>
        <v>589.18410100000006</v>
      </c>
      <c r="H19" s="76">
        <f>G19/F29</f>
        <v>1</v>
      </c>
    </row>
    <row r="20" spans="1:8" s="77" customFormat="1" ht="14.15" customHeight="1" x14ac:dyDescent="0.65">
      <c r="A20" s="67"/>
      <c r="B20" s="67"/>
      <c r="C20" s="67" t="s">
        <v>155</v>
      </c>
      <c r="D20" s="67"/>
      <c r="E20" s="67"/>
      <c r="F20" s="78">
        <f>Sleutels!K31*('A Inzicht'!Y7+'A Inzicht'!Y8+'A Inzicht'!Y9+'A Inzicht'!Y10+'A Inzicht'!Y11+'A Inzicht'!Y12+'A Inzicht'!Y13+'A Inzicht'!Y40+'A Inzicht'!Y41+'A Inzicht'!Y42+'A Inzicht'!Y51+'A Inzicht'!Y52+'A Inzicht'!Y53+'A Inzicht'!Y54+'A Inzicht'!Y55+'A Inzicht'!Y56+'A Inzicht'!Y57+'A Inzicht'!Y58+'A Inzicht'!Y59+'A Inzicht'!Y60+'A Inzicht'!Y61)</f>
        <v>0</v>
      </c>
      <c r="G20" s="67"/>
      <c r="H20" s="79">
        <f>F20/F29</f>
        <v>0</v>
      </c>
    </row>
    <row r="21" spans="1:8" ht="14.15" customHeight="1" x14ac:dyDescent="0.65">
      <c r="A21" s="67"/>
      <c r="B21" s="67"/>
      <c r="C21" s="67" t="s">
        <v>154</v>
      </c>
      <c r="D21" s="67"/>
      <c r="E21" s="67"/>
      <c r="F21" s="78">
        <f>'A Inzicht'!Y14+'A Inzicht'!Y15+'A Inzicht'!Y16+'A Inzicht'!Y17+'A Inzicht'!Y18+'A Inzicht'!Y19+'A Inzicht'!Y20</f>
        <v>589.18410100000006</v>
      </c>
      <c r="G21" s="67"/>
      <c r="H21" s="79">
        <f>F21/F29</f>
        <v>1</v>
      </c>
    </row>
    <row r="22" spans="1:8" ht="14.15" customHeight="1" x14ac:dyDescent="0.65">
      <c r="A22" s="67"/>
      <c r="B22" s="67"/>
      <c r="C22" s="67" t="s">
        <v>48</v>
      </c>
      <c r="D22" s="67"/>
      <c r="E22" s="67"/>
      <c r="F22" s="78">
        <f>'A Inzicht'!Y21+'A Inzicht'!Y22+'A Inzicht'!Y23</f>
        <v>0</v>
      </c>
      <c r="G22" s="67"/>
      <c r="H22" s="79">
        <f>F22/F29</f>
        <v>0</v>
      </c>
    </row>
    <row r="23" spans="1:8" ht="14.15" customHeight="1" x14ac:dyDescent="0.65">
      <c r="A23" s="67"/>
      <c r="B23" s="67"/>
      <c r="C23" s="67" t="s">
        <v>8</v>
      </c>
      <c r="D23" s="67"/>
      <c r="E23" s="67"/>
      <c r="F23" s="80">
        <f>Sleutels!K33*('A Inzicht'!Y24+'A Inzicht'!Y25+'A Inzicht'!Y26+'A Inzicht'!Y27+'A Inzicht'!Y28+'A Inzicht'!Y29+'A Inzicht'!Y30)</f>
        <v>0</v>
      </c>
      <c r="G23" s="67"/>
      <c r="H23" s="79">
        <f>F23/F29</f>
        <v>0</v>
      </c>
    </row>
    <row r="24" spans="1:8" ht="14.15" customHeight="1" x14ac:dyDescent="0.65">
      <c r="A24" s="67"/>
      <c r="B24" s="67"/>
      <c r="C24" s="67" t="s">
        <v>143</v>
      </c>
      <c r="D24" s="67"/>
      <c r="E24" s="67"/>
      <c r="F24" s="80">
        <f>Sleutels!K34*('A Inzicht'!Y31+'A Inzicht'!Y32+'A Inzicht'!Y33+'A Inzicht'!Y43+'A Inzicht'!Y44+'A Inzicht'!Y45+'A Inzicht'!Y46+'A Inzicht'!Y47+'A Inzicht'!Y48)</f>
        <v>0</v>
      </c>
      <c r="G24" s="67"/>
      <c r="H24" s="79">
        <f>F24/F29</f>
        <v>0</v>
      </c>
    </row>
    <row r="25" spans="1:8" ht="14.15" customHeight="1" x14ac:dyDescent="0.65">
      <c r="A25" s="67"/>
      <c r="B25" s="67"/>
      <c r="C25" s="67" t="s">
        <v>60</v>
      </c>
      <c r="D25" s="67"/>
      <c r="E25" s="67"/>
      <c r="F25" s="80">
        <f>Sleutels!K35*('A Inzicht'!Y36+'A Inzicht'!Y37+'A Inzicht'!Y38+'A Inzicht'!Y39)</f>
        <v>0</v>
      </c>
      <c r="G25" s="67"/>
      <c r="H25" s="79">
        <f>F25/F29</f>
        <v>0</v>
      </c>
    </row>
    <row r="26" spans="1:8" ht="14.15" customHeight="1" x14ac:dyDescent="0.65">
      <c r="A26" s="67"/>
      <c r="B26" s="67"/>
      <c r="C26" s="67" t="s">
        <v>27</v>
      </c>
      <c r="D26" s="67"/>
      <c r="E26" s="67"/>
      <c r="F26" s="80">
        <f>Sleutels!K36*('A Inzicht'!Y62+'A Inzicht'!Y63+'A Inzicht'!Y64+'A Inzicht'!Y65+'A Inzicht'!Y66+'A Inzicht'!Y67+'A Inzicht'!Y68+'A Inzicht'!Y69+'A Inzicht'!Y70)</f>
        <v>0</v>
      </c>
      <c r="G26" s="67"/>
      <c r="H26" s="79">
        <f>F26/F29</f>
        <v>0</v>
      </c>
    </row>
    <row r="27" spans="1:8" ht="14.15" customHeight="1" x14ac:dyDescent="0.65">
      <c r="A27" s="67"/>
      <c r="B27" s="67"/>
      <c r="C27" s="67" t="s">
        <v>13</v>
      </c>
      <c r="D27" s="67"/>
      <c r="E27" s="67"/>
      <c r="F27" s="80">
        <f>'A Inzicht'!Y71+'A Inzicht'!Y72+'A Inzicht'!Y73</f>
        <v>0</v>
      </c>
      <c r="G27" s="67"/>
      <c r="H27" s="79">
        <f>F27/F29</f>
        <v>0</v>
      </c>
    </row>
    <row r="28" spans="1:8" ht="14.15" customHeight="1" x14ac:dyDescent="0.65">
      <c r="A28" s="67"/>
      <c r="B28" s="67"/>
      <c r="C28" s="67"/>
      <c r="D28" s="67"/>
      <c r="E28" s="67"/>
      <c r="F28" s="68"/>
      <c r="G28" s="67"/>
      <c r="H28" s="79"/>
    </row>
    <row r="29" spans="1:8" ht="14.15" customHeight="1" x14ac:dyDescent="0.65">
      <c r="A29" s="67"/>
      <c r="B29" s="67"/>
      <c r="C29" s="67"/>
      <c r="D29" s="67"/>
      <c r="E29" s="73" t="s">
        <v>64</v>
      </c>
      <c r="F29" s="82">
        <f>G12+G19</f>
        <v>589.18410100000006</v>
      </c>
      <c r="G29" s="72" t="s">
        <v>120</v>
      </c>
      <c r="H29" s="79"/>
    </row>
    <row r="30" spans="1:8" ht="14.15" customHeight="1" x14ac:dyDescent="0.65">
      <c r="A30" s="67"/>
      <c r="B30" s="67"/>
      <c r="C30" s="67"/>
      <c r="D30" s="67"/>
      <c r="E30" s="67"/>
      <c r="F30" s="68"/>
      <c r="G30" s="67"/>
      <c r="H30" s="79"/>
    </row>
    <row r="32" spans="1:8" ht="14.15" customHeight="1" x14ac:dyDescent="0.65">
      <c r="A32" s="59" t="s">
        <v>62</v>
      </c>
      <c r="F32" s="59"/>
      <c r="G32" s="83"/>
      <c r="H32" s="66"/>
    </row>
    <row r="33" spans="1:8" ht="14.15" customHeight="1" x14ac:dyDescent="0.65">
      <c r="D33" s="59" t="s">
        <v>121</v>
      </c>
      <c r="F33" s="59"/>
      <c r="G33" s="62">
        <f>G12/Sleutels!J7</f>
        <v>0</v>
      </c>
      <c r="H33" s="66" t="s">
        <v>120</v>
      </c>
    </row>
    <row r="34" spans="1:8" ht="14.15" customHeight="1" x14ac:dyDescent="0.65">
      <c r="D34" s="59" t="s">
        <v>135</v>
      </c>
      <c r="F34" s="59"/>
      <c r="G34" s="83">
        <f>G12/Sleutels!J6</f>
        <v>0</v>
      </c>
      <c r="H34" s="66" t="s">
        <v>120</v>
      </c>
    </row>
    <row r="35" spans="1:8" ht="14.15" customHeight="1" x14ac:dyDescent="0.65">
      <c r="A35" s="59" t="s">
        <v>63</v>
      </c>
      <c r="F35" s="59"/>
      <c r="G35" s="62"/>
      <c r="H35" s="66"/>
    </row>
    <row r="36" spans="1:8" ht="14.15" customHeight="1" x14ac:dyDescent="0.65">
      <c r="C36" s="84"/>
      <c r="D36" s="59" t="s">
        <v>121</v>
      </c>
      <c r="E36" s="84"/>
      <c r="F36" s="84"/>
      <c r="G36" s="83">
        <f>G19/Sleutels!J7</f>
        <v>294.59205050000003</v>
      </c>
      <c r="H36" s="66" t="s">
        <v>120</v>
      </c>
    </row>
    <row r="37" spans="1:8" ht="14.15" customHeight="1" x14ac:dyDescent="0.65">
      <c r="C37" s="84"/>
      <c r="D37" s="59" t="s">
        <v>135</v>
      </c>
      <c r="E37" s="84"/>
      <c r="F37" s="84"/>
      <c r="G37" s="62">
        <f>G19/Sleutels!J6</f>
        <v>267.81095499999998</v>
      </c>
      <c r="H37" s="66" t="s">
        <v>120</v>
      </c>
    </row>
    <row r="38" spans="1:8" ht="14.15" customHeight="1" x14ac:dyDescent="0.65">
      <c r="C38" s="85"/>
      <c r="D38" s="85"/>
    </row>
  </sheetData>
  <mergeCells count="2">
    <mergeCell ref="H2:I2"/>
    <mergeCell ref="F11:G11"/>
  </mergeCells>
  <pageMargins left="0.7" right="0.7" top="0.75" bottom="0.75" header="0.3" footer="0.3"/>
  <pageSetup paperSize="9" scale="80" orientation="landscape" horizontalDpi="0" verticalDpi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  <pageSetUpPr fitToPage="1"/>
  </sheetPr>
  <dimension ref="A1:Q39"/>
  <sheetViews>
    <sheetView zoomScale="120" zoomScaleNormal="120" zoomScalePageLayoutView="130" workbookViewId="0">
      <selection activeCell="E8" sqref="E8"/>
    </sheetView>
  </sheetViews>
  <sheetFormatPr defaultColWidth="8.86328125" defaultRowHeight="14.15" customHeight="1" x14ac:dyDescent="0.65"/>
  <cols>
    <col min="1" max="1" width="1.26953125" style="59" customWidth="1"/>
    <col min="2" max="2" width="1.7265625" style="59" customWidth="1"/>
    <col min="3" max="3" width="10.86328125" style="59" customWidth="1"/>
    <col min="4" max="4" width="1.86328125" style="59" customWidth="1"/>
    <col min="5" max="5" width="20.7265625" style="59" customWidth="1"/>
    <col min="6" max="6" width="8" style="62" customWidth="1"/>
    <col min="7" max="7" width="8" style="59" customWidth="1"/>
    <col min="8" max="8" width="11.7265625" style="62" customWidth="1"/>
    <col min="9" max="26" width="7.40625" style="59" customWidth="1"/>
    <col min="27" max="16384" width="8.86328125" style="59"/>
  </cols>
  <sheetData>
    <row r="1" spans="1:15" s="55" customFormat="1" ht="14.15" customHeight="1" x14ac:dyDescent="0.75">
      <c r="F1" s="56"/>
      <c r="H1" s="57"/>
    </row>
    <row r="2" spans="1:15" s="55" customFormat="1" ht="14.15" customHeight="1" x14ac:dyDescent="0.75">
      <c r="B2" s="94" t="s">
        <v>24</v>
      </c>
      <c r="F2" s="56"/>
      <c r="H2" s="372" t="s">
        <v>119</v>
      </c>
      <c r="I2" s="373"/>
      <c r="K2" s="374" t="str" cm="1">
        <f t="array" aca="1" ref="K2" ca="1">MID(CELL("filename",$A$1),SEARCH("]", CELL("filename",$A$1))+1,999)</f>
        <v>2025</v>
      </c>
      <c r="L2" s="374"/>
      <c r="M2" s="374"/>
    </row>
    <row r="3" spans="1:15" s="55" customFormat="1" ht="14.15" customHeight="1" x14ac:dyDescent="0.75">
      <c r="F3" s="56"/>
      <c r="G3" s="58"/>
      <c r="H3" s="57"/>
    </row>
    <row r="4" spans="1:15" s="55" customFormat="1" ht="14.15" customHeight="1" x14ac:dyDescent="0.75">
      <c r="F4" s="56"/>
      <c r="H4" s="57"/>
    </row>
    <row r="6" spans="1:15" ht="14.15" customHeight="1" x14ac:dyDescent="0.7">
      <c r="B6" s="60" t="s">
        <v>5</v>
      </c>
      <c r="C6" s="61"/>
      <c r="D6" s="61"/>
      <c r="E6" s="61" t="str">
        <f>'2025 H1'!E6</f>
        <v>Vreugdenhil Berging</v>
      </c>
      <c r="G6" s="102"/>
      <c r="O6" s="64" t="s">
        <v>4</v>
      </c>
    </row>
    <row r="7" spans="1:15" ht="14.15" customHeight="1" x14ac:dyDescent="0.65">
      <c r="B7" s="61" t="s">
        <v>6</v>
      </c>
      <c r="C7" s="61"/>
      <c r="D7" s="61"/>
      <c r="E7" s="164">
        <f>'2024 H1'!E7</f>
        <v>27183387</v>
      </c>
      <c r="F7" s="66"/>
    </row>
    <row r="8" spans="1:15" ht="14.15" customHeight="1" x14ac:dyDescent="0.65">
      <c r="B8" s="61" t="s">
        <v>11</v>
      </c>
      <c r="C8" s="61"/>
      <c r="D8" s="61"/>
      <c r="E8" s="65" t="s">
        <v>179</v>
      </c>
    </row>
    <row r="10" spans="1:15" ht="14.15" customHeight="1" x14ac:dyDescent="0.65">
      <c r="A10" s="67"/>
      <c r="B10" s="67"/>
      <c r="C10" s="67"/>
      <c r="D10" s="67"/>
      <c r="E10" s="67"/>
      <c r="F10" s="67"/>
      <c r="G10" s="67"/>
      <c r="H10" s="68"/>
    </row>
    <row r="11" spans="1:15" s="71" customFormat="1" ht="14.15" customHeight="1" x14ac:dyDescent="0.65">
      <c r="A11" s="69"/>
      <c r="B11" s="69"/>
      <c r="C11" s="69"/>
      <c r="D11" s="69"/>
      <c r="E11" s="69"/>
      <c r="F11" s="375" t="s">
        <v>120</v>
      </c>
      <c r="G11" s="375"/>
      <c r="H11" s="70" t="s">
        <v>7</v>
      </c>
    </row>
    <row r="12" spans="1:15" s="77" customFormat="1" ht="14.15" customHeight="1" x14ac:dyDescent="0.65">
      <c r="A12" s="72"/>
      <c r="B12" s="72" t="s">
        <v>1</v>
      </c>
      <c r="C12" s="72"/>
      <c r="D12" s="72"/>
      <c r="E12" s="73"/>
      <c r="F12" s="74"/>
      <c r="G12" s="75">
        <f>SUM(F13:F18)</f>
        <v>589.18410100000006</v>
      </c>
      <c r="H12" s="76">
        <f>G12/F30</f>
        <v>1</v>
      </c>
    </row>
    <row r="13" spans="1:15" ht="14.15" customHeight="1" x14ac:dyDescent="0.65">
      <c r="A13" s="67"/>
      <c r="B13" s="67"/>
      <c r="C13" s="67" t="s">
        <v>155</v>
      </c>
      <c r="D13" s="67"/>
      <c r="E13" s="67"/>
      <c r="F13" s="78">
        <f>'A Inzicht'!Y7+'A Inzicht'!Y8+'A Inzicht'!Y9+'A Inzicht'!Y10+'A Inzicht'!Y11+'A Inzicht'!Y12+'A Inzicht'!Y13</f>
        <v>0</v>
      </c>
      <c r="G13" s="67"/>
      <c r="H13" s="79">
        <f>F13/F30</f>
        <v>0</v>
      </c>
    </row>
    <row r="14" spans="1:15" ht="14.15" customHeight="1" x14ac:dyDescent="0.65">
      <c r="A14" s="67"/>
      <c r="B14" s="67"/>
      <c r="C14" s="67" t="s">
        <v>154</v>
      </c>
      <c r="D14" s="67"/>
      <c r="E14" s="67"/>
      <c r="F14" s="78">
        <f>'A Inzicht'!Y14+'A Inzicht'!Y15+'A Inzicht'!Y16+'A Inzicht'!Y17+'A Inzicht'!Y18+'A Inzicht'!Y19+'A Inzicht'!Y20</f>
        <v>589.18410100000006</v>
      </c>
      <c r="G14" s="67"/>
      <c r="H14" s="79">
        <f>F14/F30</f>
        <v>1</v>
      </c>
    </row>
    <row r="15" spans="1:15" ht="14.15" customHeight="1" x14ac:dyDescent="0.65">
      <c r="A15" s="67"/>
      <c r="B15" s="67"/>
      <c r="C15" s="67" t="s">
        <v>48</v>
      </c>
      <c r="D15" s="67"/>
      <c r="E15" s="67"/>
      <c r="F15" s="78">
        <f>'A Inzicht'!Y21+'A Inzicht'!Y22+'A Inzicht'!Y23</f>
        <v>0</v>
      </c>
      <c r="G15" s="67"/>
      <c r="H15" s="79">
        <f>F15/F30</f>
        <v>0</v>
      </c>
    </row>
    <row r="16" spans="1:15" ht="14.15" customHeight="1" x14ac:dyDescent="0.65">
      <c r="A16" s="67"/>
      <c r="B16" s="67"/>
      <c r="C16" s="67" t="s">
        <v>8</v>
      </c>
      <c r="D16" s="67"/>
      <c r="E16" s="67"/>
      <c r="F16" s="80">
        <f>'A Inzicht'!Y24+'A Inzicht'!Y25+'A Inzicht'!Y26+'A Inzicht'!Y27+'A Inzicht'!Y28+'A Inzicht'!Y29+'A Inzicht'!Y30</f>
        <v>0</v>
      </c>
      <c r="G16" s="67"/>
      <c r="H16" s="79">
        <f>F16/F30</f>
        <v>0</v>
      </c>
    </row>
    <row r="17" spans="1:17" ht="14.15" customHeight="1" x14ac:dyDescent="0.65">
      <c r="A17" s="67"/>
      <c r="B17" s="67"/>
      <c r="C17" s="67" t="s">
        <v>143</v>
      </c>
      <c r="D17" s="67"/>
      <c r="E17" s="67"/>
      <c r="F17" s="80">
        <f>'A Inzicht'!Y31+'A Inzicht'!Y32+'A Inzicht'!Y33</f>
        <v>0</v>
      </c>
      <c r="G17" s="67"/>
      <c r="H17" s="79">
        <f>F17/F30</f>
        <v>0</v>
      </c>
    </row>
    <row r="18" spans="1:17" ht="14.15" customHeight="1" x14ac:dyDescent="0.65">
      <c r="A18" s="67"/>
      <c r="B18" s="67"/>
      <c r="C18" s="67"/>
      <c r="D18" s="67"/>
      <c r="E18" s="67"/>
      <c r="F18" s="68"/>
      <c r="G18" s="67"/>
      <c r="H18" s="79"/>
    </row>
    <row r="19" spans="1:17" s="77" customFormat="1" ht="14.15" customHeight="1" x14ac:dyDescent="0.65">
      <c r="A19" s="72"/>
      <c r="B19" s="72" t="s">
        <v>0</v>
      </c>
      <c r="C19" s="72"/>
      <c r="D19" s="72"/>
      <c r="E19" s="73"/>
      <c r="F19" s="74"/>
      <c r="G19" s="75">
        <f>SUM(F20:F23)</f>
        <v>0</v>
      </c>
      <c r="H19" s="76">
        <f>G19/F30</f>
        <v>0</v>
      </c>
    </row>
    <row r="20" spans="1:17" ht="14.15" customHeight="1" x14ac:dyDescent="0.65">
      <c r="A20" s="67"/>
      <c r="B20" s="67"/>
      <c r="C20" s="67" t="s">
        <v>60</v>
      </c>
      <c r="D20" s="67"/>
      <c r="E20" s="67"/>
      <c r="F20" s="80">
        <f>'A Inzicht'!Y36+'A Inzicht'!Y37+'A Inzicht'!Y38+'A Inzicht'!Y39</f>
        <v>0</v>
      </c>
      <c r="G20" s="67"/>
      <c r="H20" s="79">
        <f>F20/F30</f>
        <v>0</v>
      </c>
    </row>
    <row r="21" spans="1:17" ht="14.15" customHeight="1" x14ac:dyDescent="0.65">
      <c r="A21" s="67"/>
      <c r="B21" s="67"/>
      <c r="C21" s="67" t="s">
        <v>79</v>
      </c>
      <c r="D21" s="67"/>
      <c r="E21" s="67"/>
      <c r="F21" s="80">
        <f>'A Inzicht'!Y40+'A Inzicht'!Y41+'A Inzicht'!Y42</f>
        <v>0</v>
      </c>
      <c r="G21" s="67"/>
      <c r="H21" s="79">
        <f>F21/F30</f>
        <v>0</v>
      </c>
    </row>
    <row r="22" spans="1:17" ht="14.15" customHeight="1" x14ac:dyDescent="0.65">
      <c r="A22" s="67"/>
      <c r="B22" s="67"/>
      <c r="C22" s="67" t="s">
        <v>59</v>
      </c>
      <c r="D22" s="67"/>
      <c r="E22" s="67"/>
      <c r="F22" s="80">
        <f>'A Inzicht'!Y43+'A Inzicht'!Y44+'A Inzicht'!Y45+'A Inzicht'!Y46+'A Inzicht'!Y47+'A Inzicht'!Y48</f>
        <v>0</v>
      </c>
      <c r="G22" s="67"/>
      <c r="H22" s="79">
        <f>F22/F30</f>
        <v>0</v>
      </c>
    </row>
    <row r="23" spans="1:17" ht="14.15" customHeight="1" x14ac:dyDescent="0.65">
      <c r="A23" s="67"/>
      <c r="B23" s="67"/>
      <c r="C23" s="67"/>
      <c r="D23" s="67"/>
      <c r="E23" s="67"/>
      <c r="F23" s="68"/>
      <c r="G23" s="67"/>
      <c r="H23" s="79"/>
    </row>
    <row r="24" spans="1:17" ht="14.15" customHeight="1" x14ac:dyDescent="0.65">
      <c r="A24" s="67"/>
      <c r="B24" s="72" t="s">
        <v>93</v>
      </c>
      <c r="C24" s="67"/>
      <c r="D24" s="67"/>
      <c r="E24" s="67"/>
      <c r="F24" s="68"/>
      <c r="G24" s="75">
        <f>SUM(F25:F29)</f>
        <v>0</v>
      </c>
      <c r="H24" s="76">
        <f>G24/F30</f>
        <v>0</v>
      </c>
    </row>
    <row r="25" spans="1:17" ht="14.15" customHeight="1" x14ac:dyDescent="0.65">
      <c r="A25" s="67"/>
      <c r="B25" s="67"/>
      <c r="C25" s="67" t="s">
        <v>25</v>
      </c>
      <c r="D25" s="67"/>
      <c r="E25" s="67"/>
      <c r="F25" s="80">
        <f>'A Inzicht'!Y51+'A Inzicht'!Y52+'A Inzicht'!Y53+'A Inzicht'!Y54+'A Inzicht'!Y55+'A Inzicht'!Y56+'A Inzicht'!Y57+'A Inzicht'!Y58+'A Inzicht'!Y59+'A Inzicht'!Y60+'A Inzicht'!Y61</f>
        <v>0</v>
      </c>
      <c r="G25" s="67"/>
      <c r="H25" s="79">
        <f>F25/F30</f>
        <v>0</v>
      </c>
    </row>
    <row r="26" spans="1:17" ht="14.15" customHeight="1" x14ac:dyDescent="0.65">
      <c r="A26" s="67"/>
      <c r="B26" s="67"/>
      <c r="C26" s="67" t="s">
        <v>27</v>
      </c>
      <c r="D26" s="67"/>
      <c r="E26" s="67"/>
      <c r="F26" s="80">
        <f>'A Inzicht'!Y62+'A Inzicht'!Y63+'A Inzicht'!Y64+'A Inzicht'!Y65+'A Inzicht'!Y67+'A Inzicht'!Y68+'A Inzicht'!Y69+'A Inzicht'!Y70</f>
        <v>0</v>
      </c>
      <c r="G26" s="67"/>
      <c r="H26" s="79">
        <f>F26/F30</f>
        <v>0</v>
      </c>
      <c r="Q26" s="81"/>
    </row>
    <row r="27" spans="1:17" ht="14.15" customHeight="1" x14ac:dyDescent="0.65">
      <c r="A27" s="67"/>
      <c r="B27" s="67"/>
      <c r="C27" s="67" t="s">
        <v>13</v>
      </c>
      <c r="D27" s="67"/>
      <c r="E27" s="67"/>
      <c r="F27" s="80">
        <f>'A Inzicht'!Y71+'A Inzicht'!Y72+'A Inzicht'!Y73</f>
        <v>0</v>
      </c>
      <c r="G27" s="67"/>
      <c r="H27" s="79">
        <f>F27/F30</f>
        <v>0</v>
      </c>
    </row>
    <row r="28" spans="1:17" ht="14.15" customHeight="1" x14ac:dyDescent="0.65">
      <c r="A28" s="67"/>
      <c r="B28" s="67"/>
      <c r="C28" s="67" t="s">
        <v>30</v>
      </c>
      <c r="D28" s="67"/>
      <c r="E28" s="67"/>
      <c r="F28" s="80">
        <f>'A Inzicht'!Y74+'A Inzicht'!Y75</f>
        <v>0</v>
      </c>
      <c r="G28" s="67"/>
      <c r="H28" s="79">
        <f>F28/F30</f>
        <v>0</v>
      </c>
      <c r="Q28" s="81"/>
    </row>
    <row r="29" spans="1:17" ht="14.15" customHeight="1" x14ac:dyDescent="0.65">
      <c r="A29" s="67"/>
      <c r="B29" s="67"/>
      <c r="C29" s="67"/>
      <c r="D29" s="67"/>
      <c r="E29" s="67"/>
      <c r="F29" s="68"/>
      <c r="G29" s="67"/>
      <c r="H29" s="79"/>
    </row>
    <row r="30" spans="1:17" ht="14.15" customHeight="1" x14ac:dyDescent="0.65">
      <c r="A30" s="67"/>
      <c r="B30" s="67"/>
      <c r="C30" s="67"/>
      <c r="D30" s="67"/>
      <c r="E30" s="73" t="s">
        <v>20</v>
      </c>
      <c r="F30" s="82">
        <f>G12+G19+G24</f>
        <v>589.18410100000006</v>
      </c>
      <c r="G30" s="72" t="s">
        <v>120</v>
      </c>
      <c r="H30" s="79"/>
    </row>
    <row r="31" spans="1:17" ht="14.15" customHeight="1" x14ac:dyDescent="0.65">
      <c r="A31" s="67"/>
      <c r="B31" s="67"/>
      <c r="C31" s="67"/>
      <c r="D31" s="67"/>
      <c r="E31" s="67"/>
      <c r="F31" s="68"/>
      <c r="G31" s="67"/>
      <c r="H31" s="79"/>
    </row>
    <row r="33" spans="1:8" ht="14.15" customHeight="1" x14ac:dyDescent="0.65">
      <c r="A33" s="59" t="s">
        <v>21</v>
      </c>
      <c r="D33" s="59" t="s">
        <v>135</v>
      </c>
      <c r="F33" s="59"/>
      <c r="G33" s="93">
        <f>G12/Sleutels!J6</f>
        <v>267.81095499999998</v>
      </c>
      <c r="H33" s="66" t="s">
        <v>120</v>
      </c>
    </row>
    <row r="34" spans="1:8" ht="14.15" customHeight="1" x14ac:dyDescent="0.65">
      <c r="D34" s="59" t="s">
        <v>121</v>
      </c>
      <c r="F34" s="59"/>
      <c r="G34" s="93">
        <f>G12/Sleutels!J7</f>
        <v>294.59205050000003</v>
      </c>
      <c r="H34" s="66" t="s">
        <v>120</v>
      </c>
    </row>
    <row r="35" spans="1:8" ht="14.15" customHeight="1" x14ac:dyDescent="0.65">
      <c r="A35" s="59" t="s">
        <v>137</v>
      </c>
    </row>
    <row r="36" spans="1:8" ht="14.15" customHeight="1" x14ac:dyDescent="0.65">
      <c r="D36" s="59" t="s">
        <v>135</v>
      </c>
      <c r="F36" s="59"/>
      <c r="G36" s="93">
        <f>(G19+G24)/Sleutels!J6</f>
        <v>0</v>
      </c>
      <c r="H36" s="66" t="s">
        <v>120</v>
      </c>
    </row>
    <row r="37" spans="1:8" ht="14.15" customHeight="1" x14ac:dyDescent="0.65">
      <c r="A37" s="84"/>
      <c r="D37" s="59" t="s">
        <v>121</v>
      </c>
      <c r="F37" s="59"/>
      <c r="G37" s="93">
        <f>(G19+G24)/Sleutels!J7</f>
        <v>0</v>
      </c>
      <c r="H37" s="66" t="s">
        <v>120</v>
      </c>
    </row>
    <row r="38" spans="1:8" ht="14.15" customHeight="1" x14ac:dyDescent="0.65">
      <c r="C38" s="84"/>
      <c r="E38" s="84"/>
      <c r="F38" s="84"/>
      <c r="G38" s="93"/>
      <c r="H38" s="66"/>
    </row>
    <row r="39" spans="1:8" ht="14.15" customHeight="1" x14ac:dyDescent="0.65">
      <c r="C39" s="85"/>
      <c r="D39" s="85"/>
    </row>
  </sheetData>
  <mergeCells count="3">
    <mergeCell ref="H2:I2"/>
    <mergeCell ref="K2:M2"/>
    <mergeCell ref="F11:G11"/>
  </mergeCells>
  <pageMargins left="0.7" right="0.7" top="0.75" bottom="0.75" header="0.3" footer="0.3"/>
  <pageSetup paperSize="9" scale="80" orientation="landscape" horizontalDpi="4294967292" verticalDpi="4294967292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6d29e3f-c78c-4e6b-886e-ad6a6f0b04e3" xsi:nil="true"/>
    <lcf76f155ced4ddcb4097134ff3c332f xmlns="21fcf869-2e23-4914-bbc8-e323903c0c13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10734F05DEF74AB10E2A91FAEC3845" ma:contentTypeVersion="12" ma:contentTypeDescription="Een nieuw document maken." ma:contentTypeScope="" ma:versionID="ee0e3f5d8381b3446d883f252e228b5a">
  <xsd:schema xmlns:xsd="http://www.w3.org/2001/XMLSchema" xmlns:xs="http://www.w3.org/2001/XMLSchema" xmlns:p="http://schemas.microsoft.com/office/2006/metadata/properties" xmlns:ns2="21fcf869-2e23-4914-bbc8-e323903c0c13" xmlns:ns3="76d29e3f-c78c-4e6b-886e-ad6a6f0b04e3" targetNamespace="http://schemas.microsoft.com/office/2006/metadata/properties" ma:root="true" ma:fieldsID="41847e0a29192e71b53ba3f207d26eeb" ns2:_="" ns3:_="">
    <xsd:import namespace="21fcf869-2e23-4914-bbc8-e323903c0c13"/>
    <xsd:import namespace="76d29e3f-c78c-4e6b-886e-ad6a6f0b04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fcf869-2e23-4914-bbc8-e323903c0c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Afbeeldingtags" ma:readOnly="false" ma:fieldId="{5cf76f15-5ced-4ddc-b409-7134ff3c332f}" ma:taxonomyMulti="true" ma:sspId="54337c1a-fe15-4af5-bb72-f273f6babaf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d29e3f-c78c-4e6b-886e-ad6a6f0b04e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eaf04fa3-cea7-4d94-869e-337570d94104}" ma:internalName="TaxCatchAll" ma:showField="CatchAllData" ma:web="76d29e3f-c78c-4e6b-886e-ad6a6f0b04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CEC9093-3672-4018-ABC1-D1A113A41039}">
  <ds:schemaRefs>
    <ds:schemaRef ds:uri="http://schemas.microsoft.com/office/2006/metadata/properties"/>
    <ds:schemaRef ds:uri="http://schemas.microsoft.com/office/infopath/2007/PartnerControls"/>
    <ds:schemaRef ds:uri="76d29e3f-c78c-4e6b-886e-ad6a6f0b04e3"/>
    <ds:schemaRef ds:uri="21fcf869-2e23-4914-bbc8-e323903c0c13"/>
  </ds:schemaRefs>
</ds:datastoreItem>
</file>

<file path=customXml/itemProps2.xml><?xml version="1.0" encoding="utf-8"?>
<ds:datastoreItem xmlns:ds="http://schemas.openxmlformats.org/officeDocument/2006/customXml" ds:itemID="{0DA535AE-0C10-478C-88D8-243FA70B88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1fcf869-2e23-4914-bbc8-e323903c0c13"/>
    <ds:schemaRef ds:uri="76d29e3f-c78c-4e6b-886e-ad6a6f0b04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FE6DF5-935D-4B17-89FD-438066FE867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18</vt:i4>
      </vt:variant>
      <vt:variant>
        <vt:lpstr>Benoemde bereiken</vt:lpstr>
      </vt:variant>
      <vt:variant>
        <vt:i4>7</vt:i4>
      </vt:variant>
    </vt:vector>
  </HeadingPairs>
  <TitlesOfParts>
    <vt:vector size="25" baseType="lpstr">
      <vt:lpstr>A Inzicht</vt:lpstr>
      <vt:lpstr>Sleutels</vt:lpstr>
      <vt:lpstr>2024 H1</vt:lpstr>
      <vt:lpstr>2024</vt:lpstr>
      <vt:lpstr>2024 project</vt:lpstr>
      <vt:lpstr>2024 verdeling</vt:lpstr>
      <vt:lpstr>2025 H1</vt:lpstr>
      <vt:lpstr>2025 verdeling</vt:lpstr>
      <vt:lpstr>2025</vt:lpstr>
      <vt:lpstr>2025 project</vt:lpstr>
      <vt:lpstr>2026 H1</vt:lpstr>
      <vt:lpstr>2026</vt:lpstr>
      <vt:lpstr>2026 project</vt:lpstr>
      <vt:lpstr>2026 verdeling</vt:lpstr>
      <vt:lpstr>2024 H2</vt:lpstr>
      <vt:lpstr>2025 H2</vt:lpstr>
      <vt:lpstr>2026 H2</vt:lpstr>
      <vt:lpstr>B reductie</vt:lpstr>
      <vt:lpstr>'2024'!Afdrukbereik</vt:lpstr>
      <vt:lpstr>'2024 H1'!Afdrukbereik</vt:lpstr>
      <vt:lpstr>'2024 H2'!Afdrukbereik</vt:lpstr>
      <vt:lpstr>'2024 project'!Afdrukbereik</vt:lpstr>
      <vt:lpstr>'2025 H1'!Afdrukbereik</vt:lpstr>
      <vt:lpstr>'2026 H1'!Afdrukbereik</vt:lpstr>
      <vt:lpstr>'2026 verdeling'!Afdrukbereik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2021-04-30T11:15:41Z</cp:lastPrinted>
  <dcterms:created xsi:type="dcterms:W3CDTF">2006-09-26T08:55:29Z</dcterms:created>
  <dcterms:modified xsi:type="dcterms:W3CDTF">2025-09-11T08:34:28Z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0x0101000310734F05DEF74AB10E2A91FAEC3845</vt:lpwstr>
  </property>
  <property fmtid="{D5CDD505-2E9C-101B-9397-08002B2CF9AE}" pid="3" name="MediaServiceImageTags">
    <vt:lpwstr/>
  </property>
</Properties>
</file>